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S:\SHARE\PROJECTS\HistMin\Docs&amp;Notes\Papers\Melle paper\"/>
    </mc:Choice>
  </mc:AlternateContent>
  <xr:revisionPtr revIDLastSave="0" documentId="13_ncr:1_{3A5F0557-DA0B-4803-B366-DE11D16D890C}" xr6:coauthVersionLast="47" xr6:coauthVersionMax="47" xr10:uidLastSave="{00000000-0000-0000-0000-000000000000}"/>
  <workbookProtection workbookAlgorithmName="SHA-512" workbookHashValue="CKy8xf2H2NFZgAP4SUL9uAdq90aYwqYjCUT4mejk08aAxmqXAQDBxajJPsn1L7nXExseJQ2XjttXEl3qH0kTPA==" workbookSaltValue="AQwHBWLCPPnF9PYHfNuR+w==" workbookSpinCount="100000" lockStructure="1"/>
  <bookViews>
    <workbookView xWindow="-120" yWindow="-120" windowWidth="29040" windowHeight="15840" xr2:uid="{00000000-000D-0000-FFFF-FFFF00000000}"/>
  </bookViews>
  <sheets>
    <sheet name="About_Melle_models" sheetId="1" r:id="rId1"/>
    <sheet name="Working_sheet" sheetId="2" r:id="rId2"/>
    <sheet name="Workforce_calculations" sheetId="3" r:id="rId3"/>
    <sheet name="Realistic_case" sheetId="4" r:id="rId4"/>
    <sheet name="Optimistic_case" sheetId="5" r:id="rId5"/>
    <sheet name="Extreme_case" sheetId="6" r:id="rId6"/>
    <sheet name="Summary_table" sheetId="7" r:id="rId7"/>
    <sheet name="Output_table" sheetId="8" r:id="rId8"/>
  </sheets>
  <calcPr calcId="191029"/>
  <customWorkbookViews>
    <customWorkbookView name="Löffler Ingolf - Persönliche Ansicht" guid="{E2772306-AE06-43A8-AC22-D91D9C3C7EF8}" mergeInterval="0" personalView="1" maximized="1" xWindow="1910" yWindow="-10" windowWidth="1940" windowHeight="1043" activeSheetId="1"/>
    <customWorkbookView name="Leigh_B - Personal View" guid="{238C921E-9284-4CD0-9CF6-84DD5C0E8B33}" mergeInterval="0" personalView="1" maximized="1" xWindow="-8" yWindow="-8" windowWidth="1936" windowHeight="1056" activeSheetId="2"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3" l="1"/>
  <c r="F8" i="3" s="1"/>
  <c r="D17" i="5"/>
  <c r="I36" i="7"/>
  <c r="G31" i="8" s="1"/>
  <c r="F6" i="3" l="1"/>
  <c r="F7" i="3"/>
  <c r="H17" i="8"/>
  <c r="J26" i="7" l="1"/>
  <c r="B42" i="7"/>
  <c r="B37" i="8" s="1"/>
  <c r="J8" i="7"/>
  <c r="B26" i="7"/>
  <c r="D17" i="2"/>
  <c r="H4" i="8" l="1"/>
  <c r="H5" i="8"/>
  <c r="H6" i="8"/>
  <c r="H7" i="8"/>
  <c r="H8" i="8"/>
  <c r="H9" i="8"/>
  <c r="H10" i="8"/>
  <c r="H11" i="8"/>
  <c r="H12" i="8"/>
  <c r="H13" i="8"/>
  <c r="H3" i="8"/>
  <c r="D21" i="4"/>
  <c r="H24" i="8"/>
  <c r="B24" i="8"/>
  <c r="D17" i="6"/>
  <c r="D18" i="6" s="1"/>
  <c r="F17" i="7"/>
  <c r="E15" i="8" s="1"/>
  <c r="J17" i="7"/>
  <c r="H15" i="8" s="1"/>
  <c r="D17" i="4"/>
  <c r="D18" i="4" s="1"/>
  <c r="D19" i="4" s="1"/>
  <c r="D22" i="3"/>
  <c r="D23" i="3" s="1"/>
  <c r="B41" i="7"/>
  <c r="B36" i="8" s="1"/>
  <c r="B40" i="7"/>
  <c r="B35" i="8" s="1"/>
  <c r="B39" i="7"/>
  <c r="B34" i="8" s="1"/>
  <c r="B38" i="7"/>
  <c r="B33" i="8" s="1"/>
  <c r="B37" i="7"/>
  <c r="B32" i="8" s="1"/>
  <c r="B36" i="7"/>
  <c r="B31" i="8" s="1"/>
  <c r="B34" i="7"/>
  <c r="B30" i="8" s="1"/>
  <c r="B33" i="7"/>
  <c r="B29" i="8" s="1"/>
  <c r="B31" i="7"/>
  <c r="B28" i="8" s="1"/>
  <c r="B30" i="7"/>
  <c r="B27" i="8" s="1"/>
  <c r="B28" i="7"/>
  <c r="B26" i="8" s="1"/>
  <c r="B27" i="7"/>
  <c r="B25" i="8" s="1"/>
  <c r="B25" i="7"/>
  <c r="B23" i="8" s="1"/>
  <c r="B24" i="7"/>
  <c r="B22" i="8" s="1"/>
  <c r="B23" i="7"/>
  <c r="B21" i="8" s="1"/>
  <c r="B22" i="7"/>
  <c r="B20" i="8" s="1"/>
  <c r="B21" i="7"/>
  <c r="B19" i="8" s="1"/>
  <c r="B20" i="7"/>
  <c r="B18" i="8" s="1"/>
  <c r="B19" i="7"/>
  <c r="B17" i="8" s="1"/>
  <c r="B18" i="7"/>
  <c r="B16" i="8" s="1"/>
  <c r="B17" i="7"/>
  <c r="B15" i="8" s="1"/>
  <c r="B16" i="7"/>
  <c r="B14" i="8" s="1"/>
  <c r="B14" i="7"/>
  <c r="B13" i="8" s="1"/>
  <c r="B13" i="7"/>
  <c r="B12" i="8" s="1"/>
  <c r="B12" i="7"/>
  <c r="B11" i="8" s="1"/>
  <c r="B11" i="7"/>
  <c r="B10" i="8" s="1"/>
  <c r="B10" i="7"/>
  <c r="B9" i="8" s="1"/>
  <c r="B9" i="7"/>
  <c r="B8" i="8" s="1"/>
  <c r="B8" i="7"/>
  <c r="B7" i="8" s="1"/>
  <c r="B7" i="7"/>
  <c r="B6" i="8" s="1"/>
  <c r="B6" i="7"/>
  <c r="B5" i="8" s="1"/>
  <c r="B5" i="7"/>
  <c r="B4" i="8" s="1"/>
  <c r="B4" i="7"/>
  <c r="B3" i="8" s="1"/>
  <c r="B3" i="7"/>
  <c r="B2" i="8" s="1"/>
  <c r="I17" i="7"/>
  <c r="G15" i="8" s="1"/>
  <c r="J42" i="7"/>
  <c r="H37" i="8" s="1"/>
  <c r="J41" i="7"/>
  <c r="H36" i="8" s="1"/>
  <c r="J40" i="7"/>
  <c r="H35" i="8" s="1"/>
  <c r="J28" i="7"/>
  <c r="H26" i="8" s="1"/>
  <c r="J27" i="7"/>
  <c r="H25" i="8" s="1"/>
  <c r="J25" i="7"/>
  <c r="H23" i="8" s="1"/>
  <c r="J14" i="7"/>
  <c r="J13" i="7"/>
  <c r="J12" i="7"/>
  <c r="J11" i="7"/>
  <c r="J10" i="7"/>
  <c r="J9" i="7"/>
  <c r="J7" i="7"/>
  <c r="J6" i="7"/>
  <c r="J5" i="7"/>
  <c r="J4" i="7"/>
  <c r="I42" i="7"/>
  <c r="G37" i="8" s="1"/>
  <c r="I41" i="7"/>
  <c r="G36" i="8" s="1"/>
  <c r="I39" i="7"/>
  <c r="G34" i="8" s="1"/>
  <c r="I38" i="7"/>
  <c r="G33" i="8" s="1"/>
  <c r="I37" i="7"/>
  <c r="G32" i="8" s="1"/>
  <c r="I35" i="7"/>
  <c r="I34" i="7"/>
  <c r="G30" i="8" s="1"/>
  <c r="I33" i="7"/>
  <c r="G29" i="8" s="1"/>
  <c r="I31" i="7"/>
  <c r="G28" i="8" s="1"/>
  <c r="I30" i="7"/>
  <c r="G27" i="8" s="1"/>
  <c r="I28" i="7"/>
  <c r="G26" i="8" s="1"/>
  <c r="I27" i="7"/>
  <c r="G25" i="8" s="1"/>
  <c r="I26" i="7"/>
  <c r="G24" i="8" s="1"/>
  <c r="I25" i="7"/>
  <c r="G23" i="8" s="1"/>
  <c r="I24" i="7"/>
  <c r="G22" i="8" s="1"/>
  <c r="I23" i="7"/>
  <c r="G21" i="8" s="1"/>
  <c r="I22" i="7"/>
  <c r="G20" i="8" s="1"/>
  <c r="I21" i="7"/>
  <c r="G19" i="8" s="1"/>
  <c r="I20" i="7"/>
  <c r="G18" i="8" s="1"/>
  <c r="I19" i="7"/>
  <c r="G17" i="8" s="1"/>
  <c r="I18" i="7"/>
  <c r="G16" i="8" s="1"/>
  <c r="I6" i="7"/>
  <c r="G5" i="8" s="1"/>
  <c r="I7" i="7"/>
  <c r="G6" i="8" s="1"/>
  <c r="I8" i="7"/>
  <c r="G7" i="8" s="1"/>
  <c r="I10" i="7"/>
  <c r="G9" i="8" s="1"/>
  <c r="I11" i="7"/>
  <c r="G10" i="8" s="1"/>
  <c r="I12" i="7"/>
  <c r="G11" i="8" s="1"/>
  <c r="I13" i="7"/>
  <c r="G12" i="8" s="1"/>
  <c r="I14" i="7"/>
  <c r="G13" i="8" s="1"/>
  <c r="I5" i="7"/>
  <c r="G4" i="8" s="1"/>
  <c r="D18" i="5" l="1"/>
  <c r="D19" i="5" s="1"/>
  <c r="D17" i="7"/>
  <c r="C15" i="8" s="1"/>
  <c r="D18" i="2"/>
  <c r="D19" i="2" s="1"/>
  <c r="E17" i="7"/>
  <c r="D15" i="8" s="1"/>
  <c r="G17" i="7"/>
  <c r="F15" i="8" s="1"/>
  <c r="D21" i="2"/>
  <c r="D23" i="2" s="1"/>
  <c r="D20" i="2"/>
  <c r="D22" i="2" l="1"/>
  <c r="D24" i="2" s="1"/>
  <c r="D25" i="2" s="1"/>
  <c r="D26" i="2" s="1"/>
  <c r="D8" i="3"/>
  <c r="D27" i="2" l="1"/>
  <c r="D30" i="2" s="1"/>
  <c r="D36" i="2" s="1"/>
  <c r="D26" i="3"/>
  <c r="D25" i="3"/>
  <c r="D24" i="3"/>
  <c r="D28" i="2" l="1"/>
  <c r="D31" i="2" s="1"/>
  <c r="D33" i="2" s="1"/>
  <c r="D34" i="2" s="1"/>
  <c r="D38" i="2"/>
  <c r="D27" i="3"/>
  <c r="D22" i="7"/>
  <c r="C20" i="8" s="1"/>
  <c r="D21" i="7"/>
  <c r="C19" i="8" s="1"/>
  <c r="D20" i="7"/>
  <c r="C18" i="8" s="1"/>
  <c r="D19" i="7"/>
  <c r="C17" i="8" s="1"/>
  <c r="D18" i="7"/>
  <c r="C16" i="8" s="1"/>
  <c r="D14" i="7"/>
  <c r="C13" i="8" s="1"/>
  <c r="D13" i="7"/>
  <c r="C12" i="8" s="1"/>
  <c r="D12" i="7"/>
  <c r="C11" i="8" s="1"/>
  <c r="D11" i="7"/>
  <c r="C10" i="8" s="1"/>
  <c r="D10" i="7"/>
  <c r="C9" i="8" s="1"/>
  <c r="D9" i="7"/>
  <c r="C8" i="8" s="1"/>
  <c r="D8" i="7"/>
  <c r="C7" i="8" s="1"/>
  <c r="D7" i="7"/>
  <c r="C6" i="8" s="1"/>
  <c r="D6" i="7"/>
  <c r="C5" i="8" s="1"/>
  <c r="D5" i="7"/>
  <c r="C4" i="8" s="1"/>
  <c r="D4" i="7"/>
  <c r="C3" i="8" s="1"/>
  <c r="E14" i="7"/>
  <c r="D13" i="8" s="1"/>
  <c r="E13" i="7"/>
  <c r="D12" i="8" s="1"/>
  <c r="E12" i="7"/>
  <c r="D11" i="8" s="1"/>
  <c r="E11" i="7"/>
  <c r="D10" i="8" s="1"/>
  <c r="E10" i="7"/>
  <c r="D9" i="8" s="1"/>
  <c r="E9" i="7"/>
  <c r="D8" i="8" s="1"/>
  <c r="E8" i="7"/>
  <c r="D7" i="8" s="1"/>
  <c r="E7" i="7"/>
  <c r="D6" i="8" s="1"/>
  <c r="E6" i="7"/>
  <c r="D5" i="8" s="1"/>
  <c r="E5" i="7"/>
  <c r="D4" i="8" s="1"/>
  <c r="E4" i="7"/>
  <c r="D3" i="8" s="1"/>
  <c r="F14" i="7"/>
  <c r="E13" i="8" s="1"/>
  <c r="F13" i="7"/>
  <c r="E12" i="8" s="1"/>
  <c r="F12" i="7"/>
  <c r="E11" i="8" s="1"/>
  <c r="F11" i="7"/>
  <c r="E10" i="8" s="1"/>
  <c r="F10" i="7"/>
  <c r="E9" i="8" s="1"/>
  <c r="F9" i="7"/>
  <c r="E8" i="8" s="1"/>
  <c r="F8" i="7"/>
  <c r="E7" i="8" s="1"/>
  <c r="F7" i="7"/>
  <c r="E6" i="8" s="1"/>
  <c r="F6" i="7"/>
  <c r="E5" i="8" s="1"/>
  <c r="F5" i="7"/>
  <c r="E4" i="8" s="1"/>
  <c r="F4" i="7"/>
  <c r="E3" i="8" s="1"/>
  <c r="G14" i="7"/>
  <c r="F13" i="8" s="1"/>
  <c r="G13" i="7"/>
  <c r="F12" i="8" s="1"/>
  <c r="G12" i="7"/>
  <c r="F11" i="8" s="1"/>
  <c r="G11" i="7"/>
  <c r="F10" i="8" s="1"/>
  <c r="G10" i="7"/>
  <c r="F9" i="8" s="1"/>
  <c r="G9" i="7"/>
  <c r="F8" i="8" s="1"/>
  <c r="G8" i="7"/>
  <c r="F7" i="8" s="1"/>
  <c r="G7" i="7"/>
  <c r="F6" i="8" s="1"/>
  <c r="G6" i="7"/>
  <c r="F5" i="8" s="1"/>
  <c r="G5" i="7"/>
  <c r="F4" i="8" s="1"/>
  <c r="G4" i="7"/>
  <c r="F3" i="8" s="1"/>
  <c r="F9" i="3" l="1"/>
  <c r="D28" i="3" s="1"/>
  <c r="D37" i="2"/>
  <c r="D23" i="7"/>
  <c r="C21" i="8" s="1"/>
  <c r="D21" i="5"/>
  <c r="D20" i="5"/>
  <c r="F20" i="7" s="1"/>
  <c r="E18" i="8" s="1"/>
  <c r="D21" i="6"/>
  <c r="D20" i="6"/>
  <c r="D19" i="6"/>
  <c r="E20" i="7" l="1"/>
  <c r="D18" i="8" s="1"/>
  <c r="D29" i="3"/>
  <c r="D23" i="6"/>
  <c r="E23" i="7" s="1"/>
  <c r="D21" i="8" s="1"/>
  <c r="D41" i="2"/>
  <c r="D42" i="2" s="1"/>
  <c r="D39" i="2"/>
  <c r="D40" i="2"/>
  <c r="D23" i="5"/>
  <c r="F23" i="7" s="1"/>
  <c r="E21" i="8" s="1"/>
  <c r="F21" i="7"/>
  <c r="E19" i="8" s="1"/>
  <c r="F19" i="7"/>
  <c r="E17" i="8" s="1"/>
  <c r="F18" i="7"/>
  <c r="E16" i="8" s="1"/>
  <c r="E21" i="7"/>
  <c r="D19" i="8" s="1"/>
  <c r="E19" i="7"/>
  <c r="D17" i="8" s="1"/>
  <c r="E18" i="7"/>
  <c r="D16" i="8" s="1"/>
  <c r="D22" i="5"/>
  <c r="D22" i="6"/>
  <c r="D30" i="3" l="1"/>
  <c r="D32" i="3" s="1"/>
  <c r="D35" i="3" s="1"/>
  <c r="D41" i="3" s="1"/>
  <c r="D43" i="3" s="1"/>
  <c r="D24" i="5"/>
  <c r="D25" i="5" s="1"/>
  <c r="F22" i="7"/>
  <c r="E20" i="8" s="1"/>
  <c r="D24" i="6"/>
  <c r="E22" i="7"/>
  <c r="D20" i="8" s="1"/>
  <c r="D25" i="7"/>
  <c r="C23" i="8" s="1"/>
  <c r="D24" i="7"/>
  <c r="C22" i="8" s="1"/>
  <c r="D26" i="7"/>
  <c r="C24" i="8" s="1"/>
  <c r="D31" i="3" l="1"/>
  <c r="D33" i="3" s="1"/>
  <c r="D36" i="3" s="1"/>
  <c r="D42" i="3" s="1"/>
  <c r="D46" i="3" s="1"/>
  <c r="D25" i="6"/>
  <c r="F24" i="7"/>
  <c r="E22" i="8" s="1"/>
  <c r="D27" i="5"/>
  <c r="E24" i="7"/>
  <c r="D22" i="8" s="1"/>
  <c r="D27" i="7"/>
  <c r="C25" i="8" s="1"/>
  <c r="D45" i="3" l="1"/>
  <c r="D38" i="3"/>
  <c r="D39" i="3" s="1"/>
  <c r="D44" i="3"/>
  <c r="D47" i="3"/>
  <c r="D30" i="5"/>
  <c r="F25" i="7"/>
  <c r="E23" i="8" s="1"/>
  <c r="D26" i="5"/>
  <c r="F27" i="7"/>
  <c r="E25" i="8" s="1"/>
  <c r="E25" i="7"/>
  <c r="D23" i="8" s="1"/>
  <c r="D27" i="6"/>
  <c r="D26" i="6"/>
  <c r="D31" i="7"/>
  <c r="C28" i="8" s="1"/>
  <c r="D28" i="7"/>
  <c r="C26" i="8" s="1"/>
  <c r="D30" i="7"/>
  <c r="C27" i="8" s="1"/>
  <c r="D36" i="5" l="1"/>
  <c r="F26" i="7"/>
  <c r="E24" i="8" s="1"/>
  <c r="D28" i="5"/>
  <c r="F28" i="7" s="1"/>
  <c r="E26" i="8" s="1"/>
  <c r="F30" i="7"/>
  <c r="E27" i="8" s="1"/>
  <c r="G19" i="7"/>
  <c r="F17" i="8" s="1"/>
  <c r="G18" i="7"/>
  <c r="F16" i="8" s="1"/>
  <c r="E27" i="7"/>
  <c r="D25" i="8" s="1"/>
  <c r="D30" i="6"/>
  <c r="E26" i="7"/>
  <c r="D24" i="8" s="1"/>
  <c r="D28" i="6"/>
  <c r="D37" i="7"/>
  <c r="C32" i="8" s="1"/>
  <c r="D36" i="7"/>
  <c r="C31" i="8" s="1"/>
  <c r="D38" i="7"/>
  <c r="C33" i="8" s="1"/>
  <c r="D20" i="4"/>
  <c r="G20" i="7" s="1"/>
  <c r="F18" i="8" s="1"/>
  <c r="D31" i="5" l="1"/>
  <c r="D33" i="5" s="1"/>
  <c r="D38" i="5"/>
  <c r="F38" i="7" s="1"/>
  <c r="E33" i="8" s="1"/>
  <c r="F36" i="7"/>
  <c r="E31" i="8" s="1"/>
  <c r="D37" i="5"/>
  <c r="F37" i="7" s="1"/>
  <c r="E32" i="8" s="1"/>
  <c r="D22" i="4"/>
  <c r="G21" i="7"/>
  <c r="F19" i="8" s="1"/>
  <c r="D31" i="6"/>
  <c r="E28" i="7"/>
  <c r="D26" i="8" s="1"/>
  <c r="E30" i="7"/>
  <c r="D27" i="8" s="1"/>
  <c r="D36" i="6"/>
  <c r="D40" i="7"/>
  <c r="C35" i="8" s="1"/>
  <c r="D39" i="7"/>
  <c r="C34" i="8" s="1"/>
  <c r="D34" i="7"/>
  <c r="C30" i="8" s="1"/>
  <c r="D33" i="7"/>
  <c r="C29" i="8" s="1"/>
  <c r="D42" i="7"/>
  <c r="C37" i="8" s="1"/>
  <c r="D41" i="7"/>
  <c r="C36" i="8" s="1"/>
  <c r="D23" i="4"/>
  <c r="G23" i="7" s="1"/>
  <c r="F21" i="8" s="1"/>
  <c r="F31" i="7" l="1"/>
  <c r="E28" i="8" s="1"/>
  <c r="D40" i="5"/>
  <c r="F40" i="7" s="1"/>
  <c r="E35" i="8" s="1"/>
  <c r="F33" i="7"/>
  <c r="E29" i="8" s="1"/>
  <c r="D34" i="5"/>
  <c r="F34" i="7" s="1"/>
  <c r="E30" i="8" s="1"/>
  <c r="D39" i="5"/>
  <c r="F39" i="7" s="1"/>
  <c r="E34" i="8" s="1"/>
  <c r="D41" i="5"/>
  <c r="D24" i="4"/>
  <c r="D25" i="4" s="1"/>
  <c r="G22" i="7"/>
  <c r="F20" i="8" s="1"/>
  <c r="E36" i="7"/>
  <c r="D31" i="8" s="1"/>
  <c r="D38" i="6"/>
  <c r="E38" i="7" s="1"/>
  <c r="D33" i="8" s="1"/>
  <c r="E31" i="7"/>
  <c r="D28" i="8" s="1"/>
  <c r="D33" i="6"/>
  <c r="D34" i="6" s="1"/>
  <c r="D37" i="6"/>
  <c r="F41" i="7" l="1"/>
  <c r="E36" i="8" s="1"/>
  <c r="D42" i="5"/>
  <c r="F42" i="7" s="1"/>
  <c r="E37" i="8" s="1"/>
  <c r="G24" i="7"/>
  <c r="F22" i="8" s="1"/>
  <c r="D40" i="6"/>
  <c r="E40" i="7" s="1"/>
  <c r="D35" i="8" s="1"/>
  <c r="G25" i="7"/>
  <c r="F23" i="8" s="1"/>
  <c r="D26" i="4"/>
  <c r="D27" i="4"/>
  <c r="E37" i="7"/>
  <c r="D32" i="8" s="1"/>
  <c r="D39" i="6"/>
  <c r="E39" i="7" s="1"/>
  <c r="D34" i="8" s="1"/>
  <c r="D41" i="6"/>
  <c r="D42" i="6" s="1"/>
  <c r="E34" i="7"/>
  <c r="D30" i="8" s="1"/>
  <c r="E33" i="7"/>
  <c r="D29" i="8" s="1"/>
  <c r="G27" i="7" l="1"/>
  <c r="F25" i="8" s="1"/>
  <c r="D30" i="4"/>
  <c r="G26" i="7"/>
  <c r="F24" i="8" s="1"/>
  <c r="D28" i="4"/>
  <c r="E41" i="7"/>
  <c r="D36" i="8" s="1"/>
  <c r="E42" i="7" l="1"/>
  <c r="D37" i="8" s="1"/>
  <c r="G30" i="7"/>
  <c r="F27" i="8" s="1"/>
  <c r="D36" i="4"/>
  <c r="D31" i="4"/>
  <c r="G28" i="7"/>
  <c r="F26" i="8" s="1"/>
  <c r="G36" i="7" l="1"/>
  <c r="F31" i="8" s="1"/>
  <c r="D38" i="4"/>
  <c r="G38" i="7" s="1"/>
  <c r="F33" i="8" s="1"/>
  <c r="G31" i="7"/>
  <c r="F28" i="8" s="1"/>
  <c r="D33" i="4"/>
  <c r="D34" i="4" s="1"/>
  <c r="D37" i="4"/>
  <c r="G37" i="7" l="1"/>
  <c r="F32" i="8" s="1"/>
  <c r="D41" i="4"/>
  <c r="D42" i="4" s="1"/>
  <c r="D40" i="4"/>
  <c r="G40" i="7" s="1"/>
  <c r="F35" i="8" s="1"/>
  <c r="D39" i="4"/>
  <c r="G39" i="7" s="1"/>
  <c r="F34" i="8" s="1"/>
  <c r="G34" i="7"/>
  <c r="F30" i="8" s="1"/>
  <c r="G33" i="7"/>
  <c r="F29" i="8" s="1"/>
  <c r="G41" i="7" l="1"/>
  <c r="F36" i="8" s="1"/>
  <c r="G42" i="7" l="1"/>
  <c r="F37" i="8" s="1"/>
</calcChain>
</file>

<file path=xl/sharedStrings.xml><?xml version="1.0" encoding="utf-8"?>
<sst xmlns="http://schemas.openxmlformats.org/spreadsheetml/2006/main" count="500" uniqueCount="143">
  <si>
    <t>Total ore mined by all miners per year (tonnes)</t>
  </si>
  <si>
    <t>%</t>
  </si>
  <si>
    <t>oz/tonne</t>
  </si>
  <si>
    <t>kg</t>
  </si>
  <si>
    <t>Total rock mined per year by all miners (tonnes)</t>
  </si>
  <si>
    <t>Total ore produced per miner per day (kg)</t>
  </si>
  <si>
    <t>Back-check Pb/Ag production ratio</t>
  </si>
  <si>
    <t>Total contained Pb mined per year (tonnes)</t>
  </si>
  <si>
    <t>Total rock mined per miner per year (tonnes)</t>
  </si>
  <si>
    <t>Pb production loss as % of original</t>
  </si>
  <si>
    <t>Ag production loss as % of original mined</t>
  </si>
  <si>
    <t>Assumptions</t>
  </si>
  <si>
    <t>Calculations</t>
  </si>
  <si>
    <t>Rock broken per miner per day (kg)</t>
  </si>
  <si>
    <t>No of workdays in year (6 working days per week)</t>
  </si>
  <si>
    <t xml:space="preserve">% Silver-bearing galena lost in crushing and concentrating </t>
  </si>
  <si>
    <t>% Pb lost in smelting &amp; refining to slag and air</t>
  </si>
  <si>
    <t>% Pb lost in cupelling and then re-smelting of litharge</t>
  </si>
  <si>
    <t>% Ag lost in cupelling</t>
  </si>
  <si>
    <t>Percentage of town population available for mining activities</t>
  </si>
  <si>
    <t>=</t>
  </si>
  <si>
    <t>Ag lost in cupelling (%)</t>
  </si>
  <si>
    <t>Pb/Ag ratio in ore</t>
  </si>
  <si>
    <t>Percent of underground mine staff who are full-time miners</t>
  </si>
  <si>
    <t>Percentage of mine-related staff dedicated to processing activities</t>
  </si>
  <si>
    <t>Productivity per underground worker including miners (kg Ag per year)</t>
  </si>
  <si>
    <t>Final Pb metal produced after smelting &amp; refining (tonnes per year)</t>
  </si>
  <si>
    <t>Final Ag produced in Pb metal after smelting &amp; refining (tonnes per year)</t>
  </si>
  <si>
    <t>Pb in recovered concentrate available for smelting  (tonnes per year )</t>
  </si>
  <si>
    <t>Ag in recovered Pb concentrate available for smelting (tonnes  per year)</t>
  </si>
  <si>
    <t>Final Ag produced after cupellation (tonnes Ag metal per year)</t>
  </si>
  <si>
    <t>Number of dedicated full-time miners at the mining face</t>
  </si>
  <si>
    <t>Total ore mined per miner per year (tonnes)</t>
  </si>
  <si>
    <t>days</t>
  </si>
  <si>
    <t>kg/day</t>
  </si>
  <si>
    <t>Pb in recovered concentrate available for smelting (tonnes per year )</t>
  </si>
  <si>
    <t>Ag in recovered Pb concentrate available for smelting (tonnes per year)</t>
  </si>
  <si>
    <t>Percentage of total mine-related staff dedicated to timber cutting&amp; hauling</t>
  </si>
  <si>
    <t>Proportion of ore presented for crushing (as % of all rock mined)</t>
  </si>
  <si>
    <t>Final Pb produced after cupellation and re-smelting</t>
  </si>
  <si>
    <t>Very difficult to quantify but not zero!</t>
  </si>
  <si>
    <t>Very difficult to quantify but highly unlikely to be zero!</t>
  </si>
  <si>
    <t>Note comments beneath refer to REALISTIC case. Refer other worksheets for comments pertaining to Opimistic and Extreme cases</t>
  </si>
  <si>
    <t>Difficult to quantify but unlikely to be zero!</t>
  </si>
  <si>
    <t>Average grade of ore (weight % galena) as presented for crushing</t>
  </si>
  <si>
    <t>Units</t>
  </si>
  <si>
    <t>Productivity per miner (kg Ag per miner per year)</t>
  </si>
  <si>
    <t>Ag content in Pb metal after smelting but before cupellation as percent</t>
  </si>
  <si>
    <t>Ag content in Pb metal after smelting but before cupellation as oz/tonne</t>
  </si>
  <si>
    <t>About_Melle_models</t>
  </si>
  <si>
    <t>This description</t>
  </si>
  <si>
    <t>Model with open inputs allowing scenario testing of any chosen parameters</t>
  </si>
  <si>
    <t>Working_sheet</t>
  </si>
  <si>
    <t>Realistic_version</t>
  </si>
  <si>
    <t>Optimistic_version</t>
  </si>
  <si>
    <t>Extreme_version</t>
  </si>
  <si>
    <t>Summary_table</t>
  </si>
  <si>
    <t>Output_table</t>
  </si>
  <si>
    <r>
      <rPr>
        <b/>
        <u/>
        <sz val="11"/>
        <color theme="1"/>
        <rFont val="Calibri"/>
        <family val="2"/>
        <scheme val="minor"/>
      </rPr>
      <t>Locked sheet</t>
    </r>
    <r>
      <rPr>
        <sz val="11"/>
        <color theme="1"/>
        <rFont val="Calibri"/>
        <family val="2"/>
        <scheme val="minor"/>
      </rPr>
      <t xml:space="preserve"> summarising assumptions and parameters form other sheets, including Working_sheet, with comments for REALISTIC version</t>
    </r>
  </si>
  <si>
    <r>
      <rPr>
        <b/>
        <u/>
        <sz val="11"/>
        <color theme="1"/>
        <rFont val="Calibri"/>
        <family val="2"/>
        <scheme val="minor"/>
      </rPr>
      <t>Locked sheet</t>
    </r>
    <r>
      <rPr>
        <sz val="11"/>
        <color theme="1"/>
        <rFont val="Calibri"/>
        <family val="2"/>
        <scheme val="minor"/>
      </rPr>
      <t xml:space="preserve"> summarising a sub-set of assumptions and parameters form other sheets, with comments for Working_sheet</t>
    </r>
  </si>
  <si>
    <t>Workforce_calcs</t>
  </si>
  <si>
    <t xml:space="preserve">This is the online supplementary information for this document: </t>
  </si>
  <si>
    <t>Geological and Mining Constraints on Historical Mine Production: The Case of Early Medieval Lead-Silver Mining at Melle, France</t>
  </si>
  <si>
    <t>Total contained Ag mined per year (tonnes)</t>
  </si>
  <si>
    <t>% Ag lost in smelting and refining (but not cupellation)</t>
  </si>
  <si>
    <t>tonnes/yr.</t>
  </si>
  <si>
    <t>kg/yr.</t>
  </si>
  <si>
    <t>Productivity per underground worker (kg Ag per year - assuming miners = 50 %)</t>
  </si>
  <si>
    <t>Derived Pb content in ore (assuming 86.3 weight % Pb) )</t>
  </si>
  <si>
    <t xml:space="preserve">oz/tonne </t>
  </si>
  <si>
    <t>But some will be lost in crushing, separating, smelting and refining.</t>
  </si>
  <si>
    <t>Total Pb mined minus crushing/dressing loss.</t>
  </si>
  <si>
    <t>Total Ag mined minus crushing/dressing loss, based on estimated galena lost and Pb/Ag ratio.</t>
  </si>
  <si>
    <t>Significantly different to Pb/Ag in ore owing to far greater loss of Pb into air during smelting/refining, cupellation and litharge refining.</t>
  </si>
  <si>
    <r>
      <t>Total ore</t>
    </r>
    <r>
      <rPr>
        <b/>
        <sz val="11"/>
        <color theme="1"/>
        <rFont val="Calibri"/>
        <family val="2"/>
        <scheme val="minor"/>
      </rPr>
      <t xml:space="preserve"> </t>
    </r>
    <r>
      <rPr>
        <sz val="11"/>
        <color theme="1"/>
        <rFont val="Calibri"/>
        <family val="2"/>
        <scheme val="minor"/>
      </rPr>
      <t>mined per miner per year (tonnes)</t>
    </r>
  </si>
  <si>
    <t>&lt;=Processing staff (ore crushing, separation, smelting, cupelling, smithing and repairs, management/supervision).</t>
  </si>
  <si>
    <t>&lt;=Number of dedicated miners (Not including other underground workers like ore carters, sorters, waste movers, wood carriers etc.).</t>
  </si>
  <si>
    <t>150 kg corresponds to the best high medieval estimate and the Lavrion estimate.</t>
  </si>
  <si>
    <t>300 working days seems likely maximum for a Christian society - with Sundays off and a few selected saint's days.</t>
  </si>
  <si>
    <t>Existing remnant ore is the best judge (~530), and this is similar to the mid-point of galena contents reported from Melle.</t>
  </si>
  <si>
    <t>Difficult to quantity but certainly not negligible.</t>
  </si>
  <si>
    <t>Could be as high as 50 % on some estimates, but has no impact on Ag recovery.</t>
  </si>
  <si>
    <t xml:space="preserve">In Roman times, Pliny claims this was 2/9 or 22 % (Bostock and Riley, 1855, Plin. Nat. 34. 47). Early-modern losses were as low as 5 % or better. It has no influence on the recovery of Ag. </t>
  </si>
  <si>
    <t>Trapped in slag within unrecoverable galena particles and/or alloyed in fine Pb metal droplets. Does affect the recovery of Ag.</t>
  </si>
  <si>
    <t>&lt;=Timber cutting and hauling staff. It can't be less, because the mining staff had to cut and deliver about five times as much timber as the miners extract ore.</t>
  </si>
  <si>
    <t>Assumed population of town and surrounds available to provide staff</t>
  </si>
  <si>
    <t>300 working days seems a reasonable maximum for a Christian society - Sundays off and a few selected saint's days. Could have been much lower if mining was seasonal.</t>
  </si>
  <si>
    <t>Similar to best high medieval estimates and Lavrion estimate, and comparable with better outcomes of  firesetting experiments.</t>
  </si>
  <si>
    <t>Allowance (probably insufficient) for shaft sinking, exploratory development, mining waste in the faces, accidental dilution, discarded proportion during ore dressing.</t>
  </si>
  <si>
    <t>50 % allowance is probably insufficient for shaft sinking, exploratory development, mining waste in the faces, accidental dilution, discarded proportion during ore dressing.</t>
  </si>
  <si>
    <t>Trapped in slag within unrecoverable galena particles and/or alloyed in fine Pb metal droplets. It has no influence on the recovery of Ag - unless slag was crushed and re-smelted.</t>
  </si>
  <si>
    <t>At the top of the best high medieval and Early Modern estimates.</t>
  </si>
  <si>
    <t>300 working days seems likely maximum for a Christian society - Sundays off and a few selected saint's days.</t>
  </si>
  <si>
    <t>Excluding other underground workers, such as ore transporters, timber transporters, etc., and workers involved in processing and timber procurement.</t>
  </si>
  <si>
    <t>Allowance (probably insufficient) for shaft sinking, exploratory development, mining of waste in the faces, accidental dilution, discarded proportion during ore dressing.</t>
  </si>
  <si>
    <t>More favourable than existing remnant ore of 530, but within the range of galena contents reported from Melle.</t>
  </si>
  <si>
    <t>This would still be significantly better than most mines pre-1892 (introduction of flotation).</t>
  </si>
  <si>
    <t>Equivalent to the existing remnant ore value, and at the mid-point of galena contents reported from Melle.</t>
  </si>
  <si>
    <t>Note all lines highlighted in light brown are for information only and are not used in the calculations.</t>
  </si>
  <si>
    <t>More than 2x better than best high medieval and Early Modern period estimates before the use of blasting powder.</t>
  </si>
  <si>
    <t>This would  be far better than most mines pre-1892 (introduction of flotation).</t>
  </si>
  <si>
    <t>Working</t>
  </si>
  <si>
    <t>Melle calculations top-down from assumed town size and mining parameters</t>
  </si>
  <si>
    <t>Melle calculations from mining rate- sheet available for scenario testing</t>
  </si>
  <si>
    <r>
      <rPr>
        <b/>
        <u/>
        <sz val="11"/>
        <color rgb="FFFF0000"/>
        <rFont val="Calibri"/>
        <family val="2"/>
        <scheme val="minor"/>
      </rPr>
      <t>Working sheet.</t>
    </r>
    <r>
      <rPr>
        <b/>
        <sz val="11"/>
        <color rgb="FFFF0000"/>
        <rFont val="Calibri"/>
        <family val="2"/>
        <scheme val="minor"/>
      </rPr>
      <t xml:space="preserve">    Put in what you like (in the blue highlighted cells) and see the modelled production outcomes</t>
    </r>
  </si>
  <si>
    <t>Comments</t>
  </si>
  <si>
    <t>Realistic</t>
  </si>
  <si>
    <t>Optimistic</t>
  </si>
  <si>
    <t>Extreme</t>
  </si>
  <si>
    <r>
      <t xml:space="preserve">Comments refer to </t>
    </r>
    <r>
      <rPr>
        <b/>
        <sz val="9"/>
        <color rgb="FFFF0000"/>
        <rFont val="Calibri"/>
        <family val="2"/>
        <scheme val="minor"/>
      </rPr>
      <t>Working_sheet</t>
    </r>
    <r>
      <rPr>
        <b/>
        <sz val="9"/>
        <rFont val="Calibri"/>
        <family val="2"/>
        <scheme val="minor"/>
      </rPr>
      <t xml:space="preserve"> - see separate worksheets for comments relating to other modelled scenarios</t>
    </r>
  </si>
  <si>
    <r>
      <t xml:space="preserve">Melle Calculations from mining rate- </t>
    </r>
    <r>
      <rPr>
        <b/>
        <u/>
        <sz val="11"/>
        <color rgb="FFFF0000"/>
        <rFont val="Calibri"/>
        <family val="2"/>
        <scheme val="minor"/>
      </rPr>
      <t>Realistic case</t>
    </r>
  </si>
  <si>
    <r>
      <t xml:space="preserve">Melle Calculations from mining rate- </t>
    </r>
    <r>
      <rPr>
        <b/>
        <u/>
        <sz val="11"/>
        <color rgb="FFFF0000"/>
        <rFont val="Calibri"/>
        <family val="2"/>
        <scheme val="minor"/>
      </rPr>
      <t>Optimistic case</t>
    </r>
  </si>
  <si>
    <r>
      <t xml:space="preserve">Melle Calculations from mining rate- </t>
    </r>
    <r>
      <rPr>
        <b/>
        <u/>
        <sz val="11"/>
        <color rgb="FFFF0000"/>
        <rFont val="Calibri"/>
        <family val="2"/>
        <scheme val="minor"/>
      </rPr>
      <t>Extreme case</t>
    </r>
  </si>
  <si>
    <r>
      <t xml:space="preserve">Melle mining and production models- </t>
    </r>
    <r>
      <rPr>
        <b/>
        <u/>
        <sz val="11"/>
        <color rgb="FFFF0000"/>
        <rFont val="Calibri"/>
        <family val="2"/>
        <scheme val="minor"/>
      </rPr>
      <t>Summary sheet</t>
    </r>
  </si>
  <si>
    <t>Unrealistic - requires that average face area contains &gt; 80 % vein at 12 % galena. Insufficient allowance for of shaft sinking, exploratory development, amount discarded in ore dressing, etc.</t>
  </si>
  <si>
    <t>Highlighted cells contain additional information and are not used in calculations</t>
  </si>
  <si>
    <t>Note: All reference to "oz" is Troy ounce of 31.104 grams, so "oz/tonne" is Troy ounces per metric tonne.</t>
  </si>
  <si>
    <r>
      <rPr>
        <b/>
        <u/>
        <sz val="11"/>
        <color rgb="FFFF0000"/>
        <rFont val="Calibri"/>
        <family val="2"/>
        <scheme val="minor"/>
      </rPr>
      <t>Workforce calculations</t>
    </r>
    <r>
      <rPr>
        <b/>
        <sz val="11"/>
        <color rgb="FFFF0000"/>
        <rFont val="Calibri"/>
        <family val="2"/>
        <scheme val="minor"/>
      </rPr>
      <t>.   Put in what you like (in the blue_highlighted cells) and see the modelled production outcome</t>
    </r>
  </si>
  <si>
    <t>Derived Ag content in ore based on Pb grade and Pb:Ag (weight % Ag)</t>
  </si>
  <si>
    <t>Derived Ag content in ore based on Pb grade and Pb:Ag (oz/tonne Ag)</t>
  </si>
  <si>
    <t>Melle mining and production models - summary sheet</t>
  </si>
  <si>
    <t>Much more favourable than existing remnant ore of 530, and similar to the best Ag in galena content reported from Melle.</t>
  </si>
  <si>
    <t>&lt;=Total mining+processing+wood cutting staff (remainder of town are infants, old, infirm, essential workers in milling, baking etc., community leaders).</t>
  </si>
  <si>
    <t>Worksheets are as follows</t>
  </si>
  <si>
    <t>6 % galena by weight would be more than twice as good as the best "remnant" ore today, but similar to that claimed as recoverable today from underground faces (Téreygeol, 2013, p.82).</t>
  </si>
  <si>
    <t>I.e. more than 6 times better than the best "remnant" ore today and nearly 3 times that claimed as recoverable today from underground faces (Téreygeol, 2013, p.82).</t>
  </si>
  <si>
    <t>I.e. on average at least 4 times better than the best "remnant" ore today, and about twice that claimed as recoverable today from underground faces (Téreygeol, 2013, p.82).</t>
  </si>
  <si>
    <t>25 % would be significantly better than most mines pre-1892 (introduction of flotation). 30-50 % loss is quite possible.</t>
  </si>
  <si>
    <t>This would still be significantly better than most mines pre-1892 (introduction of flotation). 30-50 % loss is quite possible and probably more realistic.</t>
  </si>
  <si>
    <t>Pure (stoichiometric) galena contains 86.6 weight % Pb but substitution in the lattice by Ag, Bi, Sb, etc., mean that natural galenas are slightly lower in lead.</t>
  </si>
  <si>
    <t>Pure (stoichiometric) galena contains 86.6 weight % Pb but substituion in the lattice by Ag, Bi, Sb, etc., mean that natural galenas are slightly lower in lead.</t>
  </si>
  <si>
    <t>Model with open inputs allowing scenario testing of any chosen parameters from top down - i.e. from estimated population size, % workforce and % distribution across tasks</t>
  </si>
  <si>
    <r>
      <rPr>
        <b/>
        <u/>
        <sz val="11"/>
        <color theme="1"/>
        <rFont val="Calibri"/>
        <family val="2"/>
        <scheme val="minor"/>
      </rPr>
      <t>Locked sheet</t>
    </r>
    <r>
      <rPr>
        <sz val="11"/>
        <color theme="1"/>
        <rFont val="Calibri"/>
        <family val="2"/>
        <scheme val="minor"/>
      </rPr>
      <t xml:space="preserve"> with parameters and assumptions for </t>
    </r>
    <r>
      <rPr>
        <b/>
        <sz val="11"/>
        <color theme="1"/>
        <rFont val="Calibri"/>
        <family val="2"/>
        <scheme val="minor"/>
      </rPr>
      <t>REALISTIC</t>
    </r>
    <r>
      <rPr>
        <sz val="11"/>
        <color theme="1"/>
        <rFont val="Calibri"/>
        <family val="2"/>
        <scheme val="minor"/>
      </rPr>
      <t xml:space="preserve"> case discussed in the text</t>
    </r>
  </si>
  <si>
    <r>
      <rPr>
        <b/>
        <u/>
        <sz val="11"/>
        <color theme="1"/>
        <rFont val="Calibri"/>
        <family val="2"/>
        <scheme val="minor"/>
      </rPr>
      <t>Locked sheet</t>
    </r>
    <r>
      <rPr>
        <sz val="11"/>
        <color theme="1"/>
        <rFont val="Calibri"/>
        <family val="2"/>
        <scheme val="minor"/>
      </rPr>
      <t xml:space="preserve"> with parameters and assumptions for </t>
    </r>
    <r>
      <rPr>
        <b/>
        <sz val="11"/>
        <color theme="1"/>
        <rFont val="Calibri"/>
        <family val="2"/>
        <scheme val="minor"/>
      </rPr>
      <t>EXTREME</t>
    </r>
    <r>
      <rPr>
        <sz val="11"/>
        <color theme="1"/>
        <rFont val="Calibri"/>
        <family val="2"/>
        <scheme val="minor"/>
      </rPr>
      <t xml:space="preserve"> case discussed in the text</t>
    </r>
  </si>
  <si>
    <r>
      <rPr>
        <b/>
        <u/>
        <sz val="11"/>
        <color theme="1"/>
        <rFont val="Calibri"/>
        <family val="2"/>
        <scheme val="minor"/>
      </rPr>
      <t>Locked sheet</t>
    </r>
    <r>
      <rPr>
        <sz val="11"/>
        <color theme="1"/>
        <rFont val="Calibri"/>
        <family val="2"/>
        <scheme val="minor"/>
      </rPr>
      <t xml:space="preserve"> with parameters and assumptions for </t>
    </r>
    <r>
      <rPr>
        <b/>
        <sz val="11"/>
        <color theme="1"/>
        <rFont val="Calibri"/>
        <family val="2"/>
        <scheme val="minor"/>
      </rPr>
      <t>OPTIMISTIC</t>
    </r>
    <r>
      <rPr>
        <sz val="11"/>
        <color theme="1"/>
        <rFont val="Calibri"/>
        <family val="2"/>
        <scheme val="minor"/>
      </rPr>
      <t xml:space="preserve"> case discussed in the text</t>
    </r>
  </si>
  <si>
    <r>
      <rPr>
        <b/>
        <u/>
        <sz val="11"/>
        <color theme="1"/>
        <rFont val="Calibri"/>
        <family val="2"/>
        <scheme val="minor"/>
      </rPr>
      <t xml:space="preserve">Calculated total </t>
    </r>
    <r>
      <rPr>
        <sz val="11"/>
        <color theme="1"/>
        <rFont val="Calibri"/>
        <family val="2"/>
        <scheme val="minor"/>
      </rPr>
      <t>underground staff as percentage of total workforce</t>
    </r>
  </si>
  <si>
    <t>Refer to formulae in worksheets for any rounding in intermediate calculation steps</t>
  </si>
  <si>
    <t>Note: In all calculation sheets, figures are shown to all significant digits (taking account of any rounding in previous calculations) whereas in the Summary and Output tables some figures are further rounded for presentation purposes.</t>
  </si>
  <si>
    <t>&lt;=Total number of underground staff.</t>
  </si>
  <si>
    <t>Locked sheet</t>
  </si>
  <si>
    <t>Compare late medieval and Early Modern period operations - approx. 4 - 7 kg  for miners only; refer Table 3 in text.</t>
  </si>
  <si>
    <t>Compare late medieval and Early Modern period operations - 1.5 - 4.5 kg for all mine workers; refer Table 3 in text.</t>
  </si>
  <si>
    <t>Author: Leigh Bettenay,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</si>
</sst>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0_-;\-* #,##0.0_-;_-* &quot;-&quot;??_-;_-@_-"/>
    <numFmt numFmtId="165"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b/>
      <sz val="11"/>
      <color rgb="FF00B050"/>
      <name val="Calibri"/>
      <family val="2"/>
      <scheme val="minor"/>
    </font>
    <font>
      <sz val="13"/>
      <color theme="1"/>
      <name val="Times New Roman"/>
      <family val="1"/>
    </font>
    <font>
      <b/>
      <sz val="11"/>
      <name val="Calibri"/>
      <family val="2"/>
      <scheme val="minor"/>
    </font>
    <font>
      <sz val="9"/>
      <name val="Calibri"/>
      <family val="2"/>
      <scheme val="minor"/>
    </font>
    <font>
      <b/>
      <sz val="9"/>
      <name val="Calibri"/>
      <family val="2"/>
      <scheme val="minor"/>
    </font>
    <font>
      <sz val="9"/>
      <name val="Times New Roman"/>
      <family val="1"/>
    </font>
    <font>
      <b/>
      <u/>
      <sz val="11"/>
      <color rgb="FFFF0000"/>
      <name val="Calibri"/>
      <family val="2"/>
      <scheme val="minor"/>
    </font>
    <font>
      <b/>
      <sz val="9"/>
      <color theme="1"/>
      <name val="Calibri"/>
      <family val="2"/>
      <scheme val="minor"/>
    </font>
    <font>
      <sz val="9"/>
      <color theme="1"/>
      <name val="Calibri"/>
      <family val="2"/>
      <scheme val="minor"/>
    </font>
    <font>
      <b/>
      <sz val="9"/>
      <color rgb="FF00B050"/>
      <name val="Calibri"/>
      <family val="2"/>
      <scheme val="minor"/>
    </font>
    <font>
      <b/>
      <sz val="9"/>
      <color rgb="FFFF0000"/>
      <name val="Calibri"/>
      <family val="2"/>
      <scheme val="minor"/>
    </font>
    <font>
      <b/>
      <u/>
      <sz val="11"/>
      <color theme="1"/>
      <name val="Calibri"/>
      <family val="2"/>
      <scheme val="minor"/>
    </font>
    <font>
      <sz val="8"/>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59999389629810485"/>
        <bgColor indexed="64"/>
      </patternFill>
    </fill>
  </fills>
  <borders count="53">
    <border>
      <left/>
      <right/>
      <top/>
      <bottom/>
      <diagonal/>
    </border>
    <border>
      <left style="double">
        <color rgb="FF00B050"/>
      </left>
      <right/>
      <top style="double">
        <color rgb="FF00B050"/>
      </top>
      <bottom/>
      <diagonal/>
    </border>
    <border>
      <left/>
      <right/>
      <top style="double">
        <color rgb="FF00B050"/>
      </top>
      <bottom/>
      <diagonal/>
    </border>
    <border>
      <left/>
      <right style="double">
        <color rgb="FF00B050"/>
      </right>
      <top style="double">
        <color rgb="FF00B050"/>
      </top>
      <bottom/>
      <diagonal/>
    </border>
    <border>
      <left style="double">
        <color rgb="FF00B050"/>
      </left>
      <right/>
      <top/>
      <bottom/>
      <diagonal/>
    </border>
    <border>
      <left/>
      <right style="double">
        <color rgb="FF00B050"/>
      </right>
      <top/>
      <bottom/>
      <diagonal/>
    </border>
    <border>
      <left style="double">
        <color rgb="FF00B050"/>
      </left>
      <right/>
      <top/>
      <bottom style="double">
        <color rgb="FF00B050"/>
      </bottom>
      <diagonal/>
    </border>
    <border>
      <left/>
      <right style="double">
        <color rgb="FF00B050"/>
      </right>
      <top/>
      <bottom style="double">
        <color rgb="FF00B050"/>
      </bottom>
      <diagonal/>
    </border>
    <border>
      <left style="double">
        <color rgb="FF00B050"/>
      </left>
      <right style="dotted">
        <color rgb="FF00B050"/>
      </right>
      <top style="double">
        <color rgb="FF00B050"/>
      </top>
      <bottom style="dotted">
        <color rgb="FF00B050"/>
      </bottom>
      <diagonal/>
    </border>
    <border>
      <left style="dotted">
        <color rgb="FF00B050"/>
      </left>
      <right style="dotted">
        <color rgb="FF00B050"/>
      </right>
      <top style="double">
        <color rgb="FF00B050"/>
      </top>
      <bottom style="dotted">
        <color rgb="FF00B050"/>
      </bottom>
      <diagonal/>
    </border>
    <border>
      <left style="double">
        <color rgb="FF00B050"/>
      </left>
      <right style="dotted">
        <color rgb="FF00B050"/>
      </right>
      <top style="dotted">
        <color rgb="FF00B050"/>
      </top>
      <bottom style="dotted">
        <color rgb="FF00B050"/>
      </bottom>
      <diagonal/>
    </border>
    <border>
      <left style="dotted">
        <color rgb="FF00B050"/>
      </left>
      <right style="dotted">
        <color rgb="FF00B050"/>
      </right>
      <top style="dotted">
        <color rgb="FF00B050"/>
      </top>
      <bottom style="dotted">
        <color rgb="FF00B050"/>
      </bottom>
      <diagonal/>
    </border>
    <border>
      <left style="dotted">
        <color rgb="FF00B050"/>
      </left>
      <right style="double">
        <color rgb="FF00B050"/>
      </right>
      <top style="dotted">
        <color rgb="FF00B050"/>
      </top>
      <bottom style="dotted">
        <color rgb="FF00B050"/>
      </bottom>
      <diagonal/>
    </border>
    <border>
      <left style="double">
        <color rgb="FF00B050"/>
      </left>
      <right style="dotted">
        <color rgb="FF00B050"/>
      </right>
      <top style="dotted">
        <color rgb="FF00B050"/>
      </top>
      <bottom style="double">
        <color rgb="FF00B050"/>
      </bottom>
      <diagonal/>
    </border>
    <border>
      <left style="dotted">
        <color rgb="FF00B050"/>
      </left>
      <right style="dotted">
        <color rgb="FF00B050"/>
      </right>
      <top style="dotted">
        <color rgb="FF00B050"/>
      </top>
      <bottom style="double">
        <color rgb="FF00B050"/>
      </bottom>
      <diagonal/>
    </border>
    <border>
      <left style="dotted">
        <color rgb="FF00B050"/>
      </left>
      <right style="double">
        <color rgb="FF00B050"/>
      </right>
      <top style="dotted">
        <color rgb="FF00B050"/>
      </top>
      <bottom style="double">
        <color rgb="FF00B050"/>
      </bottom>
      <diagonal/>
    </border>
    <border>
      <left style="dotted">
        <color rgb="FF00B050"/>
      </left>
      <right style="double">
        <color rgb="FF00B050"/>
      </right>
      <top style="double">
        <color rgb="FF00B050"/>
      </top>
      <bottom style="dotted">
        <color rgb="FF00B050"/>
      </bottom>
      <diagonal/>
    </border>
    <border>
      <left style="thin">
        <color theme="0" tint="-0.14996795556505021"/>
      </left>
      <right style="thin">
        <color theme="0" tint="-0.14996795556505021"/>
      </right>
      <top style="double">
        <color rgb="FF00B050"/>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double">
        <color rgb="FF00B050"/>
      </bottom>
      <diagonal/>
    </border>
    <border>
      <left style="thin">
        <color theme="0" tint="-0.14996795556505021"/>
      </left>
      <right style="thin">
        <color theme="0" tint="-0.14993743705557422"/>
      </right>
      <top style="double">
        <color rgb="FF00B050"/>
      </top>
      <bottom/>
      <diagonal/>
    </border>
    <border>
      <left style="thin">
        <color theme="0" tint="-0.14993743705557422"/>
      </left>
      <right style="thin">
        <color theme="0" tint="-0.14990691854609822"/>
      </right>
      <top style="double">
        <color rgb="FF00B050"/>
      </top>
      <bottom/>
      <diagonal/>
    </border>
    <border>
      <left style="thin">
        <color theme="0" tint="-0.14990691854609822"/>
      </left>
      <right style="thin">
        <color theme="0" tint="-0.1498764000366222"/>
      </right>
      <top style="double">
        <color rgb="FF00B050"/>
      </top>
      <bottom/>
      <diagonal/>
    </border>
    <border>
      <left style="thin">
        <color theme="0" tint="-0.1498764000366222"/>
      </left>
      <right style="thin">
        <color theme="0" tint="-0.1498458815271462"/>
      </right>
      <top style="double">
        <color rgb="FF00B050"/>
      </top>
      <bottom/>
      <diagonal/>
    </border>
    <border>
      <left style="thin">
        <color theme="0" tint="-0.14996795556505021"/>
      </left>
      <right style="thin">
        <color theme="0" tint="-0.14993743705557422"/>
      </right>
      <top/>
      <bottom style="double">
        <color rgb="FF00B050"/>
      </bottom>
      <diagonal/>
    </border>
    <border>
      <left style="thin">
        <color theme="0" tint="-0.14996795556505021"/>
      </left>
      <right style="thin">
        <color theme="0" tint="-0.14993743705557422"/>
      </right>
      <top/>
      <bottom/>
      <diagonal/>
    </border>
    <border>
      <left/>
      <right style="thin">
        <color theme="0" tint="-0.14996795556505021"/>
      </right>
      <top/>
      <bottom style="double">
        <color rgb="FF00B050"/>
      </bottom>
      <diagonal/>
    </border>
    <border>
      <left/>
      <right style="thin">
        <color theme="0" tint="-0.14996795556505021"/>
      </right>
      <top/>
      <bottom/>
      <diagonal/>
    </border>
    <border>
      <left style="thin">
        <color theme="0" tint="-0.14993743705557422"/>
      </left>
      <right/>
      <top/>
      <bottom/>
      <diagonal/>
    </border>
    <border>
      <left style="thin">
        <color theme="0" tint="-0.14993743705557422"/>
      </left>
      <right/>
      <top/>
      <bottom style="double">
        <color rgb="FF00B050"/>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double">
        <color rgb="FF00B050"/>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double">
        <color rgb="FF00B05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top style="thin">
        <color theme="0" tint="-0.14996795556505021"/>
      </top>
      <bottom/>
      <diagonal/>
    </border>
    <border>
      <left style="thin">
        <color theme="0" tint="-0.14996795556505021"/>
      </left>
      <right/>
      <top/>
      <bottom style="double">
        <color rgb="FF00B050"/>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style="thin">
        <color theme="0" tint="-0.14996795556505021"/>
      </left>
      <right/>
      <top style="thin">
        <color theme="0" tint="-0.14993743705557422"/>
      </top>
      <bottom style="thin">
        <color theme="0" tint="-0.14993743705557422"/>
      </bottom>
      <diagonal/>
    </border>
    <border>
      <left style="double">
        <color rgb="FF00B050"/>
      </left>
      <right style="thin">
        <color theme="0" tint="-0.14996795556505021"/>
      </right>
      <top style="double">
        <color rgb="FF00B050"/>
      </top>
      <bottom style="thin">
        <color theme="0" tint="-0.14996795556505021"/>
      </bottom>
      <diagonal/>
    </border>
    <border>
      <left style="double">
        <color rgb="FF00B050"/>
      </left>
      <right style="thin">
        <color theme="0" tint="-0.14996795556505021"/>
      </right>
      <top style="thin">
        <color theme="0" tint="-0.14996795556505021"/>
      </top>
      <bottom style="thin">
        <color theme="0" tint="-0.14996795556505021"/>
      </bottom>
      <diagonal/>
    </border>
    <border>
      <left style="double">
        <color rgb="FF00B050"/>
      </left>
      <right style="thin">
        <color theme="0" tint="-0.14996795556505021"/>
      </right>
      <top style="thin">
        <color theme="0" tint="-0.14996795556505021"/>
      </top>
      <bottom style="double">
        <color rgb="FF00B050"/>
      </bottom>
      <diagonal/>
    </border>
    <border>
      <left style="thin">
        <color theme="0" tint="-0.14996795556505021"/>
      </left>
      <right style="thin">
        <color theme="0" tint="-0.14993743705557422"/>
      </right>
      <top style="thin">
        <color theme="0" tint="-0.14996795556505021"/>
      </top>
      <bottom style="double">
        <color rgb="FF00B050"/>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6795556505021"/>
      </left>
      <right style="thin">
        <color theme="0" tint="-0.14993743705557422"/>
      </right>
      <top style="double">
        <color rgb="FF00B050"/>
      </top>
      <bottom style="thin">
        <color theme="0" tint="-0.14996795556505021"/>
      </bottom>
      <diagonal/>
    </border>
    <border>
      <left style="thin">
        <color theme="0" tint="-0.24994659260841701"/>
      </left>
      <right/>
      <top style="double">
        <color rgb="FF00B050"/>
      </top>
      <bottom/>
      <diagonal/>
    </border>
    <border>
      <left style="thin">
        <color theme="0" tint="-0.24994659260841701"/>
      </left>
      <right/>
      <top/>
      <bottom/>
      <diagonal/>
    </border>
    <border>
      <left style="thin">
        <color theme="0" tint="-0.24994659260841701"/>
      </left>
      <right/>
      <top/>
      <bottom style="double">
        <color rgb="FF00B050"/>
      </bottom>
      <diagonal/>
    </border>
    <border>
      <left style="thin">
        <color theme="0" tint="-0.24994659260841701"/>
      </left>
      <right style="thin">
        <color theme="0" tint="-0.24994659260841701"/>
      </right>
      <top style="double">
        <color rgb="FF00B050"/>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double">
        <color rgb="FF00B050"/>
      </bottom>
      <diagonal/>
    </border>
  </borders>
  <cellStyleXfs count="2">
    <xf numFmtId="0" fontId="0" fillId="0" borderId="0"/>
    <xf numFmtId="43" fontId="1" fillId="0" borderId="0" applyFont="0" applyFill="0" applyBorder="0" applyAlignment="0" applyProtection="0"/>
  </cellStyleXfs>
  <cellXfs count="289">
    <xf numFmtId="0" fontId="0" fillId="0" borderId="0" xfId="0"/>
    <xf numFmtId="0" fontId="0" fillId="0" borderId="0" xfId="0" applyAlignment="1">
      <alignment wrapText="1"/>
    </xf>
    <xf numFmtId="0" fontId="0" fillId="0" borderId="4" xfId="0" applyBorder="1"/>
    <xf numFmtId="0" fontId="0" fillId="0" borderId="5" xfId="0" applyBorder="1"/>
    <xf numFmtId="0" fontId="0" fillId="0" borderId="6" xfId="0" applyBorder="1"/>
    <xf numFmtId="0" fontId="0" fillId="0" borderId="7" xfId="0" applyBorder="1"/>
    <xf numFmtId="0" fontId="6" fillId="0" borderId="0" xfId="0" applyFont="1"/>
    <xf numFmtId="0" fontId="2" fillId="0" borderId="4" xfId="0" applyFont="1" applyBorder="1"/>
    <xf numFmtId="0" fontId="0" fillId="0" borderId="4" xfId="0" applyFont="1" applyBorder="1"/>
    <xf numFmtId="0" fontId="8" fillId="0" borderId="0" xfId="0" applyFont="1"/>
    <xf numFmtId="0" fontId="8" fillId="0" borderId="0" xfId="0" applyFont="1" applyAlignment="1">
      <alignment wrapText="1"/>
    </xf>
    <xf numFmtId="0" fontId="9" fillId="0" borderId="10" xfId="0" applyFont="1" applyBorder="1"/>
    <xf numFmtId="0" fontId="8" fillId="0" borderId="11" xfId="0" applyFont="1" applyBorder="1"/>
    <xf numFmtId="0" fontId="9" fillId="9" borderId="12" xfId="0" applyFont="1" applyFill="1" applyBorder="1"/>
    <xf numFmtId="0" fontId="8" fillId="0" borderId="10" xfId="0" applyFont="1" applyBorder="1"/>
    <xf numFmtId="0" fontId="9" fillId="0" borderId="11" xfId="0" applyFont="1" applyBorder="1"/>
    <xf numFmtId="0" fontId="8" fillId="0" borderId="12" xfId="0" applyFont="1" applyBorder="1"/>
    <xf numFmtId="43" fontId="8" fillId="0" borderId="11" xfId="0" applyNumberFormat="1" applyFont="1" applyBorder="1"/>
    <xf numFmtId="0" fontId="10" fillId="0" borderId="0" xfId="0" applyFont="1"/>
    <xf numFmtId="0" fontId="8" fillId="0" borderId="15" xfId="0" applyFont="1" applyBorder="1"/>
    <xf numFmtId="0" fontId="4" fillId="2" borderId="3" xfId="0" applyFont="1" applyFill="1" applyBorder="1" applyAlignment="1">
      <alignment horizontal="center"/>
    </xf>
    <xf numFmtId="0" fontId="0" fillId="0" borderId="0" xfId="0" applyProtection="1"/>
    <xf numFmtId="0" fontId="0" fillId="0" borderId="0" xfId="0" applyAlignment="1" applyProtection="1">
      <alignment wrapText="1"/>
    </xf>
    <xf numFmtId="0" fontId="4" fillId="2" borderId="3" xfId="0" applyFont="1" applyFill="1" applyBorder="1" applyAlignment="1" applyProtection="1">
      <alignment horizontal="center"/>
    </xf>
    <xf numFmtId="0" fontId="2" fillId="0" borderId="4" xfId="0" applyFont="1" applyBorder="1" applyProtection="1"/>
    <xf numFmtId="0" fontId="0" fillId="0" borderId="0" xfId="0" applyBorder="1" applyProtection="1"/>
    <xf numFmtId="0" fontId="0" fillId="0" borderId="4" xfId="0" applyBorder="1" applyProtection="1"/>
    <xf numFmtId="0" fontId="0" fillId="0" borderId="5" xfId="0" applyBorder="1" applyProtection="1"/>
    <xf numFmtId="0" fontId="0" fillId="0" borderId="0" xfId="0" applyFill="1" applyBorder="1" applyProtection="1"/>
    <xf numFmtId="0" fontId="0" fillId="3" borderId="4" xfId="0" applyFill="1" applyBorder="1" applyProtection="1"/>
    <xf numFmtId="0" fontId="0" fillId="3" borderId="0" xfId="0" applyFill="1" applyProtection="1"/>
    <xf numFmtId="0" fontId="0" fillId="3" borderId="5" xfId="0" applyFill="1" applyBorder="1" applyProtection="1"/>
    <xf numFmtId="0" fontId="0" fillId="0" borderId="6" xfId="0" applyBorder="1" applyProtection="1"/>
    <xf numFmtId="0" fontId="0" fillId="8" borderId="5" xfId="0" applyFill="1" applyBorder="1" applyProtection="1">
      <protection locked="0"/>
    </xf>
    <xf numFmtId="0" fontId="5" fillId="0" borderId="0" xfId="0" applyFont="1" applyFill="1" applyBorder="1" applyProtection="1"/>
    <xf numFmtId="0" fontId="4" fillId="7" borderId="5" xfId="0" applyFont="1" applyFill="1" applyBorder="1" applyProtection="1"/>
    <xf numFmtId="0" fontId="0" fillId="3" borderId="4" xfId="0" applyFont="1" applyFill="1" applyBorder="1" applyProtection="1"/>
    <xf numFmtId="0" fontId="2" fillId="0" borderId="0" xfId="0" applyFont="1" applyAlignment="1">
      <alignment vertical="center"/>
    </xf>
    <xf numFmtId="0" fontId="9" fillId="0" borderId="9" xfId="0" applyFont="1" applyBorder="1" applyAlignment="1">
      <alignment horizontal="center"/>
    </xf>
    <xf numFmtId="0" fontId="0" fillId="9" borderId="0" xfId="0" applyFill="1" applyProtection="1"/>
    <xf numFmtId="0" fontId="3" fillId="0" borderId="5" xfId="0" applyFont="1" applyBorder="1" applyProtection="1"/>
    <xf numFmtId="0" fontId="9" fillId="9" borderId="9" xfId="0" applyFont="1" applyFill="1" applyBorder="1" applyAlignment="1">
      <alignment horizontal="center"/>
    </xf>
    <xf numFmtId="0" fontId="4" fillId="2" borderId="16" xfId="0" applyFont="1" applyFill="1" applyBorder="1" applyAlignment="1">
      <alignment horizontal="center"/>
    </xf>
    <xf numFmtId="0" fontId="12" fillId="0" borderId="10" xfId="0" applyFont="1" applyBorder="1"/>
    <xf numFmtId="0" fontId="13" fillId="0" borderId="11" xfId="0" applyFont="1" applyBorder="1"/>
    <xf numFmtId="0" fontId="13" fillId="0" borderId="10" xfId="0" applyFont="1" applyBorder="1"/>
    <xf numFmtId="43" fontId="13" fillId="0" borderId="11" xfId="0" applyNumberFormat="1" applyFont="1" applyBorder="1"/>
    <xf numFmtId="165" fontId="13" fillId="0" borderId="11" xfId="1" applyNumberFormat="1" applyFont="1" applyBorder="1"/>
    <xf numFmtId="165" fontId="12" fillId="0" borderId="11" xfId="1" applyNumberFormat="1" applyFont="1" applyBorder="1"/>
    <xf numFmtId="164" fontId="13" fillId="0" borderId="11" xfId="0" applyNumberFormat="1" applyFont="1" applyBorder="1"/>
    <xf numFmtId="0" fontId="13" fillId="0" borderId="13" xfId="0" applyFont="1" applyBorder="1"/>
    <xf numFmtId="43" fontId="15" fillId="0" borderId="11" xfId="0" applyNumberFormat="1" applyFont="1" applyFill="1" applyBorder="1"/>
    <xf numFmtId="164" fontId="15" fillId="0" borderId="11" xfId="0" applyNumberFormat="1" applyFont="1" applyFill="1" applyBorder="1"/>
    <xf numFmtId="164" fontId="13" fillId="0" borderId="11" xfId="1" applyNumberFormat="1" applyFont="1" applyBorder="1"/>
    <xf numFmtId="0" fontId="8" fillId="3" borderId="11" xfId="0" applyFont="1" applyFill="1" applyBorder="1"/>
    <xf numFmtId="0" fontId="14" fillId="3" borderId="11" xfId="0" applyFont="1" applyFill="1" applyBorder="1"/>
    <xf numFmtId="43" fontId="13" fillId="3" borderId="11" xfId="0" applyNumberFormat="1" applyFont="1" applyFill="1" applyBorder="1"/>
    <xf numFmtId="165" fontId="12" fillId="3" borderId="11" xfId="1" applyNumberFormat="1" applyFont="1" applyFill="1" applyBorder="1"/>
    <xf numFmtId="164" fontId="13" fillId="3" borderId="11" xfId="1" applyNumberFormat="1" applyFont="1" applyFill="1" applyBorder="1"/>
    <xf numFmtId="164" fontId="13" fillId="3" borderId="11" xfId="0" applyNumberFormat="1" applyFont="1" applyFill="1" applyBorder="1"/>
    <xf numFmtId="0" fontId="8" fillId="6" borderId="11" xfId="0" applyFont="1" applyFill="1" applyBorder="1"/>
    <xf numFmtId="0" fontId="13" fillId="6" borderId="11" xfId="0" applyFont="1" applyFill="1" applyBorder="1"/>
    <xf numFmtId="165" fontId="13" fillId="6" borderId="11" xfId="1" applyNumberFormat="1" applyFont="1" applyFill="1" applyBorder="1"/>
    <xf numFmtId="165" fontId="12" fillId="6" borderId="11" xfId="1" applyNumberFormat="1" applyFont="1" applyFill="1" applyBorder="1"/>
    <xf numFmtId="164" fontId="13" fillId="6" borderId="11" xfId="1" applyNumberFormat="1" applyFont="1" applyFill="1" applyBorder="1"/>
    <xf numFmtId="43" fontId="13" fillId="6" borderId="11" xfId="0" applyNumberFormat="1" applyFont="1" applyFill="1" applyBorder="1"/>
    <xf numFmtId="164" fontId="13" fillId="6" borderId="11" xfId="0" applyNumberFormat="1" applyFont="1" applyFill="1" applyBorder="1"/>
    <xf numFmtId="0" fontId="8" fillId="11" borderId="11" xfId="0" applyFont="1" applyFill="1" applyBorder="1"/>
    <xf numFmtId="0" fontId="13" fillId="11" borderId="11" xfId="0" applyFont="1" applyFill="1" applyBorder="1"/>
    <xf numFmtId="43" fontId="13" fillId="11" borderId="11" xfId="0" applyNumberFormat="1" applyFont="1" applyFill="1" applyBorder="1"/>
    <xf numFmtId="165" fontId="13" fillId="11" borderId="11" xfId="1" applyNumberFormat="1" applyFont="1" applyFill="1" applyBorder="1"/>
    <xf numFmtId="165" fontId="12" fillId="11" borderId="11" xfId="1" applyNumberFormat="1" applyFont="1" applyFill="1" applyBorder="1"/>
    <xf numFmtId="164" fontId="13" fillId="11" borderId="11" xfId="1" applyNumberFormat="1" applyFont="1" applyFill="1" applyBorder="1"/>
    <xf numFmtId="164" fontId="13" fillId="11" borderId="11" xfId="0" applyNumberFormat="1" applyFont="1" applyFill="1" applyBorder="1"/>
    <xf numFmtId="0" fontId="2" fillId="0" borderId="0" xfId="0" applyFont="1"/>
    <xf numFmtId="0" fontId="16" fillId="0" borderId="0" xfId="0" applyFont="1" applyAlignment="1">
      <alignment vertical="center"/>
    </xf>
    <xf numFmtId="0" fontId="6" fillId="0" borderId="0" xfId="0" applyFont="1" applyProtection="1"/>
    <xf numFmtId="0" fontId="0" fillId="0" borderId="4" xfId="0" applyFont="1" applyBorder="1" applyProtection="1"/>
    <xf numFmtId="0" fontId="0" fillId="0" borderId="7" xfId="0" applyBorder="1" applyProtection="1"/>
    <xf numFmtId="0" fontId="0" fillId="0" borderId="0" xfId="0" applyAlignment="1" applyProtection="1">
      <alignment horizontal="center"/>
    </xf>
    <xf numFmtId="0" fontId="4" fillId="0" borderId="5" xfId="0" applyFont="1" applyBorder="1" applyProtection="1"/>
    <xf numFmtId="0" fontId="2" fillId="0" borderId="5" xfId="0" applyFont="1" applyBorder="1" applyProtection="1"/>
    <xf numFmtId="0" fontId="2" fillId="0" borderId="5" xfId="0" applyFont="1" applyBorder="1" applyAlignment="1" applyProtection="1">
      <alignment horizontal="center"/>
    </xf>
    <xf numFmtId="0" fontId="0" fillId="0" borderId="0" xfId="0" applyAlignment="1">
      <alignment horizontal="left"/>
    </xf>
    <xf numFmtId="0" fontId="0" fillId="0" borderId="2" xfId="0" applyFill="1" applyBorder="1" applyAlignment="1" applyProtection="1">
      <alignment horizontal="center"/>
    </xf>
    <xf numFmtId="0" fontId="9" fillId="3" borderId="9" xfId="0" applyFont="1" applyFill="1" applyBorder="1" applyAlignment="1">
      <alignment horizontal="center" wrapText="1"/>
    </xf>
    <xf numFmtId="0" fontId="9" fillId="6" borderId="9" xfId="0" applyFont="1" applyFill="1" applyBorder="1" applyAlignment="1">
      <alignment horizontal="center"/>
    </xf>
    <xf numFmtId="0" fontId="9" fillId="11" borderId="9" xfId="0" applyFont="1" applyFill="1" applyBorder="1" applyAlignment="1">
      <alignment horizontal="center"/>
    </xf>
    <xf numFmtId="0" fontId="4" fillId="4" borderId="1" xfId="0" applyFont="1" applyFill="1" applyBorder="1" applyAlignment="1" applyProtection="1">
      <alignment horizontal="center"/>
    </xf>
    <xf numFmtId="0" fontId="4" fillId="12" borderId="1" xfId="0" applyFont="1" applyFill="1" applyBorder="1" applyAlignment="1">
      <alignment horizontal="center"/>
    </xf>
    <xf numFmtId="0" fontId="4" fillId="6" borderId="1" xfId="0" applyFont="1" applyFill="1" applyBorder="1" applyAlignment="1">
      <alignment horizontal="center"/>
    </xf>
    <xf numFmtId="0" fontId="4" fillId="2" borderId="1" xfId="0" applyFont="1" applyFill="1" applyBorder="1" applyAlignment="1">
      <alignment horizontal="center"/>
    </xf>
    <xf numFmtId="0" fontId="4" fillId="5" borderId="1" xfId="0" applyFont="1" applyFill="1" applyBorder="1" applyAlignment="1" applyProtection="1">
      <alignment horizontal="center"/>
    </xf>
    <xf numFmtId="0" fontId="9" fillId="9" borderId="8" xfId="0" applyFont="1" applyFill="1" applyBorder="1" applyAlignment="1">
      <alignment horizontal="center"/>
    </xf>
    <xf numFmtId="0" fontId="4" fillId="10" borderId="3" xfId="0" applyFont="1" applyFill="1" applyBorder="1" applyAlignment="1" applyProtection="1">
      <alignment horizontal="center"/>
    </xf>
    <xf numFmtId="43" fontId="9" fillId="0" borderId="11" xfId="0" applyNumberFormat="1" applyFont="1" applyBorder="1"/>
    <xf numFmtId="164" fontId="15" fillId="3" borderId="11" xfId="0" applyNumberFormat="1" applyFont="1" applyFill="1" applyBorder="1"/>
    <xf numFmtId="164" fontId="15" fillId="6" borderId="11" xfId="0" applyNumberFormat="1" applyFont="1" applyFill="1" applyBorder="1"/>
    <xf numFmtId="164" fontId="15" fillId="11" borderId="11" xfId="0" applyNumberFormat="1" applyFont="1" applyFill="1" applyBorder="1"/>
    <xf numFmtId="43" fontId="15" fillId="3" borderId="11" xfId="0" applyNumberFormat="1" applyFont="1" applyFill="1" applyBorder="1"/>
    <xf numFmtId="43" fontId="15" fillId="6" borderId="11" xfId="0" applyNumberFormat="1" applyFont="1" applyFill="1" applyBorder="1"/>
    <xf numFmtId="43" fontId="15" fillId="11" borderId="11" xfId="0" applyNumberFormat="1" applyFont="1" applyFill="1" applyBorder="1"/>
    <xf numFmtId="164" fontId="12" fillId="0" borderId="11" xfId="1" applyNumberFormat="1" applyFont="1" applyBorder="1"/>
    <xf numFmtId="164" fontId="12" fillId="6" borderId="11" xfId="1" applyNumberFormat="1" applyFont="1" applyFill="1" applyBorder="1"/>
    <xf numFmtId="164" fontId="12" fillId="11" borderId="11" xfId="1" applyNumberFormat="1" applyFont="1" applyFill="1" applyBorder="1"/>
    <xf numFmtId="164" fontId="12" fillId="3" borderId="11" xfId="1" applyNumberFormat="1" applyFont="1" applyFill="1" applyBorder="1"/>
    <xf numFmtId="165" fontId="5" fillId="0" borderId="0" xfId="0" applyNumberFormat="1" applyFont="1" applyFill="1" applyBorder="1" applyProtection="1"/>
    <xf numFmtId="165" fontId="13" fillId="3" borderId="11" xfId="0" applyNumberFormat="1" applyFont="1" applyFill="1" applyBorder="1"/>
    <xf numFmtId="165" fontId="13" fillId="6" borderId="11" xfId="0" applyNumberFormat="1" applyFont="1" applyFill="1" applyBorder="1"/>
    <xf numFmtId="165" fontId="13" fillId="11" borderId="11" xfId="0" applyNumberFormat="1" applyFont="1" applyFill="1" applyBorder="1"/>
    <xf numFmtId="44" fontId="13" fillId="0" borderId="14" xfId="0" applyNumberFormat="1" applyFont="1" applyBorder="1"/>
    <xf numFmtId="165" fontId="13" fillId="0" borderId="11" xfId="0" applyNumberFormat="1" applyFont="1" applyBorder="1"/>
    <xf numFmtId="164" fontId="13" fillId="9" borderId="14" xfId="0" applyNumberFormat="1" applyFont="1" applyFill="1" applyBorder="1"/>
    <xf numFmtId="164" fontId="13" fillId="3" borderId="14" xfId="0" applyNumberFormat="1" applyFont="1" applyFill="1" applyBorder="1"/>
    <xf numFmtId="164" fontId="13" fillId="6" borderId="14" xfId="0" applyNumberFormat="1" applyFont="1" applyFill="1" applyBorder="1"/>
    <xf numFmtId="164" fontId="13" fillId="11" borderId="14" xfId="0" applyNumberFormat="1" applyFont="1" applyFill="1" applyBorder="1"/>
    <xf numFmtId="0" fontId="0" fillId="0" borderId="17" xfId="0" applyFill="1" applyBorder="1" applyAlignment="1" applyProtection="1">
      <alignment horizontal="center"/>
    </xf>
    <xf numFmtId="0" fontId="0" fillId="0" borderId="18" xfId="0" applyFill="1" applyBorder="1" applyProtection="1"/>
    <xf numFmtId="0" fontId="0" fillId="0" borderId="19" xfId="0" applyFill="1" applyBorder="1" applyProtection="1"/>
    <xf numFmtId="0" fontId="4" fillId="0" borderId="20" xfId="0" applyFont="1" applyFill="1" applyBorder="1" applyAlignment="1" applyProtection="1">
      <alignment horizontal="center"/>
    </xf>
    <xf numFmtId="0" fontId="4" fillId="2" borderId="21" xfId="0" applyFont="1" applyFill="1" applyBorder="1" applyAlignment="1" applyProtection="1">
      <alignment horizontal="center"/>
    </xf>
    <xf numFmtId="0" fontId="4" fillId="6" borderId="22" xfId="0" applyFont="1" applyFill="1" applyBorder="1" applyAlignment="1" applyProtection="1">
      <alignment horizontal="center"/>
    </xf>
    <xf numFmtId="0" fontId="4" fillId="5" borderId="23" xfId="0" applyFont="1" applyFill="1" applyBorder="1" applyAlignment="1" applyProtection="1">
      <alignment horizontal="center"/>
    </xf>
    <xf numFmtId="0" fontId="5" fillId="0" borderId="25" xfId="0" applyFont="1" applyFill="1" applyBorder="1" applyProtection="1"/>
    <xf numFmtId="164" fontId="0" fillId="0" borderId="24" xfId="0" applyNumberFormat="1" applyFill="1" applyBorder="1" applyProtection="1"/>
    <xf numFmtId="0" fontId="0" fillId="0" borderId="27" xfId="0" applyBorder="1" applyProtection="1"/>
    <xf numFmtId="165" fontId="5" fillId="0" borderId="27" xfId="0" applyNumberFormat="1" applyFont="1" applyFill="1" applyBorder="1" applyProtection="1"/>
    <xf numFmtId="0" fontId="5" fillId="0" borderId="27" xfId="0" applyFont="1" applyBorder="1" applyProtection="1"/>
    <xf numFmtId="164" fontId="0" fillId="0" borderId="26" xfId="0" applyNumberFormat="1" applyBorder="1" applyProtection="1"/>
    <xf numFmtId="165" fontId="5" fillId="0" borderId="25" xfId="0" applyNumberFormat="1" applyFont="1" applyFill="1" applyBorder="1" applyProtection="1"/>
    <xf numFmtId="0" fontId="5" fillId="0" borderId="25" xfId="0" applyFont="1" applyBorder="1" applyProtection="1"/>
    <xf numFmtId="164" fontId="0" fillId="0" borderId="24" xfId="0" applyNumberFormat="1" applyBorder="1" applyProtection="1"/>
    <xf numFmtId="165" fontId="5" fillId="0" borderId="28" xfId="0" applyNumberFormat="1" applyFont="1" applyFill="1" applyBorder="1" applyProtection="1"/>
    <xf numFmtId="0" fontId="5" fillId="0" borderId="28" xfId="0" applyFont="1" applyBorder="1" applyProtection="1"/>
    <xf numFmtId="164" fontId="0" fillId="0" borderId="29" xfId="0" applyNumberFormat="1" applyBorder="1" applyProtection="1"/>
    <xf numFmtId="0" fontId="0" fillId="0" borderId="30" xfId="0" applyFill="1" applyBorder="1" applyProtection="1"/>
    <xf numFmtId="0" fontId="4" fillId="0" borderId="31" xfId="0" applyFont="1" applyFill="1" applyBorder="1" applyAlignment="1" applyProtection="1">
      <alignment horizontal="center"/>
    </xf>
    <xf numFmtId="0" fontId="0" fillId="0" borderId="32" xfId="0" applyBorder="1" applyProtection="1"/>
    <xf numFmtId="43" fontId="0" fillId="0" borderId="32" xfId="0" applyNumberFormat="1" applyBorder="1" applyProtection="1"/>
    <xf numFmtId="0" fontId="0" fillId="0" borderId="32" xfId="0" applyFill="1" applyBorder="1" applyProtection="1"/>
    <xf numFmtId="43" fontId="0" fillId="0" borderId="33" xfId="0" applyNumberFormat="1" applyBorder="1" applyProtection="1"/>
    <xf numFmtId="0" fontId="0" fillId="0" borderId="30" xfId="0" applyFill="1" applyBorder="1"/>
    <xf numFmtId="0" fontId="0" fillId="0" borderId="35" xfId="0" applyFill="1" applyBorder="1" applyProtection="1"/>
    <xf numFmtId="0" fontId="0" fillId="0" borderId="36" xfId="0" applyFill="1" applyBorder="1" applyProtection="1"/>
    <xf numFmtId="43" fontId="0" fillId="0" borderId="34" xfId="0" applyNumberFormat="1" applyFill="1" applyBorder="1" applyProtection="1"/>
    <xf numFmtId="43" fontId="0" fillId="0" borderId="37" xfId="0" applyNumberFormat="1" applyFill="1" applyBorder="1" applyProtection="1"/>
    <xf numFmtId="43" fontId="0" fillId="0" borderId="38" xfId="0" applyNumberFormat="1" applyFill="1" applyBorder="1" applyProtection="1"/>
    <xf numFmtId="43" fontId="0" fillId="0" borderId="39" xfId="0" applyNumberFormat="1" applyFill="1" applyBorder="1" applyProtection="1"/>
    <xf numFmtId="0" fontId="0" fillId="0" borderId="40" xfId="0" applyFill="1" applyBorder="1" applyProtection="1"/>
    <xf numFmtId="43" fontId="0" fillId="3" borderId="34" xfId="0" applyNumberFormat="1" applyFill="1" applyBorder="1" applyProtection="1"/>
    <xf numFmtId="43" fontId="0" fillId="3" borderId="37" xfId="0" applyNumberFormat="1" applyFill="1" applyBorder="1" applyProtection="1"/>
    <xf numFmtId="43" fontId="0" fillId="3" borderId="38" xfId="0" applyNumberFormat="1" applyFill="1" applyBorder="1" applyProtection="1"/>
    <xf numFmtId="43" fontId="0" fillId="3" borderId="39" xfId="0" applyNumberFormat="1" applyFill="1" applyBorder="1" applyProtection="1"/>
    <xf numFmtId="164" fontId="0" fillId="0" borderId="34" xfId="0" applyNumberFormat="1" applyFill="1" applyBorder="1" applyProtection="1"/>
    <xf numFmtId="164" fontId="0" fillId="0" borderId="37" xfId="0" applyNumberFormat="1" applyFill="1" applyBorder="1" applyProtection="1"/>
    <xf numFmtId="164" fontId="0" fillId="0" borderId="38" xfId="0" applyNumberFormat="1" applyFill="1" applyBorder="1" applyProtection="1"/>
    <xf numFmtId="164" fontId="0" fillId="0" borderId="39" xfId="0" applyNumberFormat="1" applyFill="1" applyBorder="1" applyProtection="1"/>
    <xf numFmtId="43" fontId="0" fillId="0" borderId="38" xfId="0" applyNumberFormat="1" applyBorder="1" applyProtection="1"/>
    <xf numFmtId="165" fontId="1" fillId="3" borderId="34" xfId="1" applyNumberFormat="1" applyFont="1" applyFill="1" applyBorder="1" applyProtection="1"/>
    <xf numFmtId="165" fontId="1" fillId="3" borderId="37" xfId="1" applyNumberFormat="1" applyFont="1" applyFill="1" applyBorder="1" applyProtection="1"/>
    <xf numFmtId="165" fontId="1" fillId="3" borderId="38" xfId="1" applyNumberFormat="1" applyFont="1" applyFill="1" applyBorder="1" applyProtection="1"/>
    <xf numFmtId="165" fontId="1" fillId="3" borderId="39" xfId="1" applyNumberFormat="1" applyFont="1" applyFill="1" applyBorder="1" applyProtection="1"/>
    <xf numFmtId="165" fontId="2" fillId="0" borderId="34" xfId="1" applyNumberFormat="1" applyFont="1" applyFill="1" applyBorder="1" applyProtection="1"/>
    <xf numFmtId="165" fontId="2" fillId="0" borderId="37" xfId="1" applyNumberFormat="1" applyFont="1" applyBorder="1" applyProtection="1"/>
    <xf numFmtId="165" fontId="2" fillId="0" borderId="38" xfId="1" applyNumberFormat="1" applyFont="1" applyBorder="1" applyProtection="1"/>
    <xf numFmtId="165" fontId="2" fillId="0" borderId="39" xfId="1" applyNumberFormat="1" applyFont="1" applyBorder="1" applyProtection="1"/>
    <xf numFmtId="165" fontId="0" fillId="0" borderId="34" xfId="0" applyNumberFormat="1" applyFill="1" applyBorder="1" applyProtection="1"/>
    <xf numFmtId="165" fontId="0" fillId="0" borderId="37" xfId="0" applyNumberFormat="1" applyBorder="1" applyProtection="1"/>
    <xf numFmtId="165" fontId="0" fillId="0" borderId="38" xfId="0" applyNumberFormat="1" applyBorder="1" applyProtection="1"/>
    <xf numFmtId="165" fontId="0" fillId="0" borderId="39" xfId="0" applyNumberFormat="1" applyBorder="1" applyProtection="1"/>
    <xf numFmtId="43" fontId="0" fillId="0" borderId="37" xfId="0" applyNumberFormat="1" applyBorder="1" applyProtection="1"/>
    <xf numFmtId="43" fontId="0" fillId="0" borderId="39" xfId="0" applyNumberFormat="1" applyBorder="1" applyProtection="1"/>
    <xf numFmtId="0" fontId="5" fillId="0" borderId="34" xfId="0" applyFont="1" applyFill="1" applyBorder="1" applyProtection="1"/>
    <xf numFmtId="0" fontId="5" fillId="0" borderId="37" xfId="0" applyFont="1" applyBorder="1" applyProtection="1"/>
    <xf numFmtId="0" fontId="5" fillId="0" borderId="38" xfId="0" applyFont="1" applyBorder="1" applyProtection="1"/>
    <xf numFmtId="0" fontId="5" fillId="0" borderId="39" xfId="0" applyFont="1" applyBorder="1" applyProtection="1"/>
    <xf numFmtId="0" fontId="0" fillId="0" borderId="38" xfId="0" applyBorder="1" applyProtection="1"/>
    <xf numFmtId="164" fontId="0" fillId="3" borderId="34" xfId="0" applyNumberFormat="1" applyFill="1" applyBorder="1" applyProtection="1"/>
    <xf numFmtId="164" fontId="0" fillId="3" borderId="37" xfId="0" applyNumberFormat="1" applyFill="1" applyBorder="1" applyProtection="1"/>
    <xf numFmtId="164" fontId="0" fillId="3" borderId="38" xfId="0" applyNumberFormat="1" applyFill="1" applyBorder="1" applyProtection="1"/>
    <xf numFmtId="164" fontId="0" fillId="3" borderId="39" xfId="0" applyNumberFormat="1" applyFill="1" applyBorder="1" applyProtection="1"/>
    <xf numFmtId="164" fontId="0" fillId="0" borderId="37" xfId="0" applyNumberFormat="1" applyBorder="1" applyProtection="1"/>
    <xf numFmtId="164" fontId="0" fillId="0" borderId="38" xfId="0" applyNumberFormat="1" applyBorder="1" applyProtection="1"/>
    <xf numFmtId="164" fontId="0" fillId="0" borderId="39" xfId="0" applyNumberFormat="1" applyBorder="1" applyProtection="1"/>
    <xf numFmtId="43" fontId="4" fillId="0" borderId="34" xfId="0" applyNumberFormat="1" applyFont="1" applyFill="1" applyBorder="1" applyProtection="1"/>
    <xf numFmtId="43" fontId="4" fillId="2" borderId="37" xfId="0" applyNumberFormat="1" applyFont="1" applyFill="1" applyBorder="1" applyProtection="1"/>
    <xf numFmtId="43" fontId="4" fillId="6" borderId="38" xfId="0" applyNumberFormat="1" applyFont="1" applyFill="1" applyBorder="1" applyProtection="1"/>
    <xf numFmtId="43" fontId="4" fillId="8" borderId="39" xfId="0" applyNumberFormat="1" applyFont="1" applyFill="1" applyBorder="1" applyProtection="1"/>
    <xf numFmtId="165" fontId="0" fillId="3" borderId="34" xfId="0" applyNumberFormat="1" applyFill="1" applyBorder="1" applyProtection="1"/>
    <xf numFmtId="165" fontId="0" fillId="3" borderId="37" xfId="0" applyNumberFormat="1" applyFill="1" applyBorder="1" applyProtection="1"/>
    <xf numFmtId="165" fontId="0" fillId="3" borderId="38" xfId="0" applyNumberFormat="1" applyFill="1" applyBorder="1" applyProtection="1"/>
    <xf numFmtId="165" fontId="0" fillId="3" borderId="39" xfId="0" applyNumberFormat="1" applyFill="1" applyBorder="1" applyProtection="1"/>
    <xf numFmtId="164" fontId="3" fillId="0" borderId="34" xfId="0" applyNumberFormat="1" applyFont="1" applyFill="1" applyBorder="1" applyProtection="1"/>
    <xf numFmtId="164" fontId="3" fillId="0" borderId="37" xfId="0" applyNumberFormat="1" applyFont="1" applyBorder="1" applyProtection="1"/>
    <xf numFmtId="164" fontId="3" fillId="0" borderId="38" xfId="0" applyNumberFormat="1" applyFont="1" applyBorder="1" applyProtection="1"/>
    <xf numFmtId="164" fontId="3" fillId="0" borderId="39" xfId="0" applyNumberFormat="1" applyFont="1" applyBorder="1" applyProtection="1"/>
    <xf numFmtId="0" fontId="0" fillId="0" borderId="18" xfId="0" applyBorder="1" applyProtection="1"/>
    <xf numFmtId="0" fontId="0" fillId="0" borderId="19" xfId="0" applyBorder="1" applyProtection="1"/>
    <xf numFmtId="0" fontId="4" fillId="8" borderId="41" xfId="0" applyFont="1" applyFill="1" applyBorder="1" applyAlignment="1" applyProtection="1">
      <alignment horizontal="center"/>
    </xf>
    <xf numFmtId="0" fontId="4" fillId="8" borderId="17" xfId="0" applyFont="1" applyFill="1" applyBorder="1" applyAlignment="1" applyProtection="1">
      <alignment horizontal="center"/>
    </xf>
    <xf numFmtId="0" fontId="2" fillId="0" borderId="42" xfId="0" applyFont="1" applyBorder="1" applyProtection="1"/>
    <xf numFmtId="0" fontId="0" fillId="0" borderId="42" xfId="0" applyBorder="1" applyProtection="1"/>
    <xf numFmtId="0" fontId="5" fillId="0" borderId="18" xfId="0" applyFont="1" applyBorder="1" applyProtection="1"/>
    <xf numFmtId="43" fontId="0" fillId="0" borderId="18" xfId="0" applyNumberFormat="1" applyBorder="1" applyProtection="1"/>
    <xf numFmtId="0" fontId="0" fillId="0" borderId="18" xfId="0" applyBorder="1" applyAlignment="1" applyProtection="1">
      <alignment horizontal="center"/>
    </xf>
    <xf numFmtId="0" fontId="0" fillId="0" borderId="42" xfId="0" applyFont="1" applyBorder="1" applyProtection="1"/>
    <xf numFmtId="43" fontId="1" fillId="0" borderId="18" xfId="1" applyNumberFormat="1" applyFont="1" applyBorder="1" applyProtection="1"/>
    <xf numFmtId="43" fontId="2" fillId="0" borderId="18" xfId="1" applyNumberFormat="1" applyFont="1" applyBorder="1" applyProtection="1"/>
    <xf numFmtId="43" fontId="0" fillId="0" borderId="18" xfId="1" applyNumberFormat="1" applyFont="1" applyBorder="1" applyProtection="1"/>
    <xf numFmtId="164" fontId="0" fillId="0" borderId="18" xfId="0" applyNumberFormat="1" applyBorder="1" applyProtection="1"/>
    <xf numFmtId="43" fontId="4" fillId="0" borderId="18" xfId="0" applyNumberFormat="1" applyFont="1" applyBorder="1" applyProtection="1"/>
    <xf numFmtId="0" fontId="4" fillId="0" borderId="18" xfId="0" applyFont="1" applyFill="1" applyBorder="1" applyProtection="1"/>
    <xf numFmtId="165" fontId="0" fillId="0" borderId="18" xfId="0" applyNumberFormat="1" applyBorder="1" applyProtection="1"/>
    <xf numFmtId="164" fontId="4" fillId="0" borderId="18" xfId="0" applyNumberFormat="1" applyFont="1" applyBorder="1" applyProtection="1"/>
    <xf numFmtId="0" fontId="0" fillId="0" borderId="43" xfId="0" applyBorder="1" applyProtection="1"/>
    <xf numFmtId="164" fontId="0" fillId="0" borderId="19" xfId="0" applyNumberFormat="1" applyBorder="1" applyProtection="1"/>
    <xf numFmtId="0" fontId="0" fillId="0" borderId="17" xfId="0" applyFill="1" applyBorder="1" applyAlignment="1">
      <alignment horizontal="center"/>
    </xf>
    <xf numFmtId="0" fontId="4" fillId="0" borderId="0" xfId="0" applyFont="1"/>
    <xf numFmtId="164" fontId="0" fillId="0" borderId="34" xfId="1" applyNumberFormat="1" applyFont="1" applyFill="1" applyBorder="1" applyProtection="1"/>
    <xf numFmtId="164" fontId="0" fillId="0" borderId="37" xfId="1" applyNumberFormat="1" applyFont="1" applyBorder="1" applyProtection="1"/>
    <xf numFmtId="164" fontId="0" fillId="0" borderId="38" xfId="1" applyNumberFormat="1" applyFont="1" applyBorder="1" applyProtection="1"/>
    <xf numFmtId="164" fontId="0" fillId="0" borderId="39" xfId="1" applyNumberFormat="1" applyFont="1" applyBorder="1" applyProtection="1"/>
    <xf numFmtId="165" fontId="12" fillId="9" borderId="11" xfId="0" applyNumberFormat="1" applyFont="1" applyFill="1" applyBorder="1"/>
    <xf numFmtId="164" fontId="12" fillId="9" borderId="11" xfId="0" applyNumberFormat="1" applyFont="1" applyFill="1" applyBorder="1"/>
    <xf numFmtId="164" fontId="5" fillId="0" borderId="0" xfId="0" applyNumberFormat="1" applyFont="1" applyFill="1" applyBorder="1" applyProtection="1"/>
    <xf numFmtId="164" fontId="5" fillId="0" borderId="27" xfId="0" applyNumberFormat="1" applyFont="1" applyFill="1" applyBorder="1" applyProtection="1"/>
    <xf numFmtId="164" fontId="5" fillId="0" borderId="25" xfId="0" applyNumberFormat="1" applyFont="1" applyFill="1" applyBorder="1" applyProtection="1"/>
    <xf numFmtId="164" fontId="5" fillId="0" borderId="28" xfId="0" applyNumberFormat="1" applyFont="1" applyFill="1" applyBorder="1" applyProtection="1"/>
    <xf numFmtId="0" fontId="0" fillId="0" borderId="45" xfId="0" applyFill="1" applyBorder="1" applyProtection="1"/>
    <xf numFmtId="43" fontId="0" fillId="0" borderId="45" xfId="0" applyNumberFormat="1" applyBorder="1" applyProtection="1"/>
    <xf numFmtId="0" fontId="0" fillId="0" borderId="45" xfId="0" applyBorder="1" applyProtection="1"/>
    <xf numFmtId="43" fontId="0" fillId="0" borderId="44" xfId="0" applyNumberFormat="1" applyBorder="1" applyProtection="1"/>
    <xf numFmtId="0" fontId="4" fillId="8" borderId="46" xfId="0" applyFont="1" applyFill="1" applyBorder="1" applyAlignment="1" applyProtection="1">
      <alignment horizontal="center"/>
    </xf>
    <xf numFmtId="0" fontId="0" fillId="0" borderId="47" xfId="0" applyFill="1" applyBorder="1" applyAlignment="1" applyProtection="1">
      <alignment horizontal="center"/>
    </xf>
    <xf numFmtId="0" fontId="0" fillId="0" borderId="48" xfId="0" applyBorder="1" applyProtection="1"/>
    <xf numFmtId="0" fontId="0" fillId="0" borderId="49" xfId="0" applyBorder="1" applyProtection="1"/>
    <xf numFmtId="0" fontId="4" fillId="4" borderId="50" xfId="0" applyFont="1" applyFill="1" applyBorder="1" applyAlignment="1" applyProtection="1">
      <alignment horizontal="center"/>
    </xf>
    <xf numFmtId="0" fontId="0" fillId="0" borderId="50" xfId="0" applyFill="1" applyBorder="1" applyAlignment="1" applyProtection="1">
      <alignment horizontal="center"/>
    </xf>
    <xf numFmtId="0" fontId="0" fillId="0" borderId="51" xfId="0" applyBorder="1" applyProtection="1"/>
    <xf numFmtId="0" fontId="0" fillId="0" borderId="51" xfId="0" applyBorder="1" applyAlignment="1" applyProtection="1">
      <alignment horizontal="center"/>
    </xf>
    <xf numFmtId="0" fontId="5" fillId="0" borderId="51" xfId="0" applyFont="1" applyBorder="1" applyAlignment="1" applyProtection="1">
      <alignment horizontal="center"/>
    </xf>
    <xf numFmtId="0" fontId="2" fillId="0" borderId="51" xfId="0" applyFont="1" applyBorder="1" applyAlignment="1" applyProtection="1">
      <alignment horizontal="center"/>
    </xf>
    <xf numFmtId="0" fontId="7" fillId="0" borderId="51" xfId="0" applyFont="1" applyFill="1" applyBorder="1" applyAlignment="1" applyProtection="1">
      <alignment horizontal="center"/>
    </xf>
    <xf numFmtId="0" fontId="4" fillId="2" borderId="51" xfId="0" applyFont="1" applyFill="1" applyBorder="1" applyAlignment="1" applyProtection="1">
      <alignment horizontal="center"/>
    </xf>
    <xf numFmtId="43" fontId="0" fillId="0" borderId="51" xfId="0" applyNumberFormat="1" applyBorder="1" applyProtection="1"/>
    <xf numFmtId="0" fontId="5" fillId="0" borderId="51" xfId="0" applyFont="1" applyBorder="1" applyProtection="1"/>
    <xf numFmtId="43" fontId="0" fillId="0" borderId="51" xfId="0" applyNumberFormat="1" applyBorder="1" applyAlignment="1" applyProtection="1">
      <alignment horizontal="center"/>
    </xf>
    <xf numFmtId="164" fontId="0" fillId="0" borderId="51" xfId="0" applyNumberFormat="1" applyBorder="1" applyProtection="1"/>
    <xf numFmtId="43" fontId="1" fillId="0" borderId="51" xfId="1" applyNumberFormat="1" applyFont="1" applyBorder="1" applyProtection="1"/>
    <xf numFmtId="165" fontId="2" fillId="0" borderId="51" xfId="1" applyNumberFormat="1" applyFont="1" applyBorder="1" applyAlignment="1" applyProtection="1">
      <alignment horizontal="center"/>
    </xf>
    <xf numFmtId="43" fontId="2" fillId="0" borderId="51" xfId="1" applyNumberFormat="1" applyFont="1" applyBorder="1" applyProtection="1"/>
    <xf numFmtId="165" fontId="0" fillId="0" borderId="51" xfId="1" applyNumberFormat="1" applyFont="1" applyBorder="1" applyAlignment="1" applyProtection="1">
      <alignment horizontal="center"/>
    </xf>
    <xf numFmtId="165" fontId="0" fillId="0" borderId="51" xfId="0" applyNumberFormat="1" applyBorder="1" applyAlignment="1" applyProtection="1">
      <alignment horizontal="center"/>
    </xf>
    <xf numFmtId="164" fontId="0" fillId="0" borderId="51" xfId="0" applyNumberFormat="1" applyBorder="1" applyAlignment="1" applyProtection="1">
      <alignment horizontal="center"/>
    </xf>
    <xf numFmtId="43" fontId="0" fillId="0" borderId="51" xfId="1" applyNumberFormat="1" applyFont="1" applyBorder="1" applyProtection="1"/>
    <xf numFmtId="43" fontId="4" fillId="0" borderId="51" xfId="0" applyNumberFormat="1" applyFont="1" applyBorder="1" applyProtection="1"/>
    <xf numFmtId="43" fontId="4" fillId="0" borderId="51" xfId="0" applyNumberFormat="1" applyFont="1" applyBorder="1" applyAlignment="1" applyProtection="1">
      <alignment horizontal="center"/>
    </xf>
    <xf numFmtId="165" fontId="0" fillId="0" borderId="51" xfId="0" applyNumberFormat="1" applyBorder="1" applyProtection="1"/>
    <xf numFmtId="164" fontId="4" fillId="0" borderId="51" xfId="0" applyNumberFormat="1" applyFont="1" applyBorder="1" applyProtection="1"/>
    <xf numFmtId="164" fontId="0" fillId="0" borderId="52" xfId="0" applyNumberFormat="1" applyBorder="1" applyProtection="1"/>
    <xf numFmtId="43" fontId="0" fillId="0" borderId="52" xfId="0" applyNumberFormat="1" applyBorder="1" applyAlignment="1" applyProtection="1">
      <alignment horizontal="center"/>
    </xf>
    <xf numFmtId="43" fontId="0" fillId="0" borderId="52" xfId="0" applyNumberFormat="1" applyBorder="1" applyProtection="1"/>
    <xf numFmtId="0" fontId="0" fillId="0" borderId="31" xfId="0" applyFill="1" applyBorder="1" applyAlignment="1">
      <alignment horizontal="center"/>
    </xf>
    <xf numFmtId="0" fontId="4" fillId="12" borderId="31" xfId="0" applyFont="1" applyFill="1" applyBorder="1" applyAlignment="1">
      <alignment horizontal="center"/>
    </xf>
    <xf numFmtId="0" fontId="0" fillId="0" borderId="32" xfId="0" applyBorder="1"/>
    <xf numFmtId="165" fontId="5" fillId="0" borderId="32" xfId="0" applyNumberFormat="1" applyFont="1" applyBorder="1"/>
    <xf numFmtId="43" fontId="0" fillId="0" borderId="32" xfId="0" applyNumberFormat="1" applyBorder="1"/>
    <xf numFmtId="164" fontId="5" fillId="0" borderId="32" xfId="0" applyNumberFormat="1" applyFont="1" applyBorder="1"/>
    <xf numFmtId="0" fontId="5" fillId="0" borderId="32" xfId="0" applyFont="1" applyBorder="1"/>
    <xf numFmtId="0" fontId="0" fillId="0" borderId="32" xfId="0" applyFill="1" applyBorder="1"/>
    <xf numFmtId="0" fontId="0" fillId="0" borderId="32" xfId="0" applyBorder="1" applyAlignment="1">
      <alignment horizontal="center"/>
    </xf>
    <xf numFmtId="43" fontId="1" fillId="0" borderId="32" xfId="1" applyNumberFormat="1" applyFont="1" applyBorder="1"/>
    <xf numFmtId="43" fontId="2" fillId="0" borderId="32" xfId="1" applyNumberFormat="1" applyFont="1" applyBorder="1"/>
    <xf numFmtId="43" fontId="0" fillId="0" borderId="32" xfId="1" applyNumberFormat="1" applyFont="1" applyBorder="1"/>
    <xf numFmtId="43" fontId="5" fillId="0" borderId="32" xfId="0" applyNumberFormat="1" applyFont="1" applyBorder="1"/>
    <xf numFmtId="164" fontId="0" fillId="0" borderId="32" xfId="0" applyNumberFormat="1" applyBorder="1"/>
    <xf numFmtId="43" fontId="4" fillId="0" borderId="32" xfId="0" applyNumberFormat="1" applyFont="1" applyBorder="1"/>
    <xf numFmtId="165" fontId="0" fillId="0" borderId="32" xfId="0" applyNumberFormat="1" applyBorder="1"/>
    <xf numFmtId="164" fontId="4" fillId="0" borderId="32" xfId="0" applyNumberFormat="1" applyFont="1" applyBorder="1"/>
    <xf numFmtId="0" fontId="0" fillId="0" borderId="33" xfId="0" applyBorder="1"/>
    <xf numFmtId="164" fontId="0" fillId="0" borderId="33" xfId="0" applyNumberFormat="1" applyBorder="1"/>
    <xf numFmtId="43" fontId="0" fillId="0" borderId="33" xfId="0" applyNumberFormat="1" applyBorder="1"/>
    <xf numFmtId="0" fontId="4" fillId="6" borderId="31" xfId="0" applyFont="1" applyFill="1" applyBorder="1" applyAlignment="1">
      <alignment horizontal="center"/>
    </xf>
    <xf numFmtId="0" fontId="4" fillId="2" borderId="31" xfId="0" applyFont="1" applyFill="1" applyBorder="1" applyAlignment="1">
      <alignment horizontal="center"/>
    </xf>
    <xf numFmtId="43" fontId="13" fillId="0" borderId="11" xfId="1" applyNumberFormat="1" applyFont="1" applyBorder="1"/>
    <xf numFmtId="165" fontId="5" fillId="8" borderId="51" xfId="0" applyNumberFormat="1" applyFont="1" applyFill="1" applyBorder="1" applyProtection="1">
      <protection locked="0"/>
    </xf>
    <xf numFmtId="164" fontId="5" fillId="8" borderId="51" xfId="0" applyNumberFormat="1" applyFont="1" applyFill="1" applyBorder="1" applyProtection="1">
      <protection locked="0"/>
    </xf>
    <xf numFmtId="165" fontId="5" fillId="8" borderId="0" xfId="0" applyNumberFormat="1" applyFont="1" applyFill="1" applyBorder="1" applyProtection="1">
      <protection locked="0"/>
    </xf>
    <xf numFmtId="164" fontId="5" fillId="8" borderId="0" xfId="0" applyNumberFormat="1" applyFont="1" applyFill="1" applyBorder="1" applyProtection="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25"/>
  <sheetViews>
    <sheetView tabSelected="1" workbookViewId="0">
      <selection activeCell="A26" sqref="A26"/>
    </sheetView>
  </sheetViews>
  <sheetFormatPr defaultColWidth="8.85546875" defaultRowHeight="15" x14ac:dyDescent="0.25"/>
  <cols>
    <col min="1" max="1" width="22.140625" customWidth="1"/>
    <col min="2" max="2" width="2.28515625" customWidth="1"/>
  </cols>
  <sheetData>
    <row r="1" spans="1:3" x14ac:dyDescent="0.25">
      <c r="A1" s="83" t="s">
        <v>61</v>
      </c>
    </row>
    <row r="2" spans="1:3" x14ac:dyDescent="0.25">
      <c r="A2" s="37" t="s">
        <v>62</v>
      </c>
    </row>
    <row r="3" spans="1:3" x14ac:dyDescent="0.25">
      <c r="A3" s="37"/>
    </row>
    <row r="4" spans="1:3" x14ac:dyDescent="0.25">
      <c r="A4" s="37" t="s">
        <v>142</v>
      </c>
    </row>
    <row r="6" spans="1:3" x14ac:dyDescent="0.25">
      <c r="A6" s="75" t="s">
        <v>123</v>
      </c>
    </row>
    <row r="8" spans="1:3" x14ac:dyDescent="0.25">
      <c r="A8" s="74" t="s">
        <v>49</v>
      </c>
      <c r="C8" t="s">
        <v>50</v>
      </c>
    </row>
    <row r="9" spans="1:3" x14ac:dyDescent="0.25">
      <c r="A9" s="74"/>
    </row>
    <row r="10" spans="1:3" x14ac:dyDescent="0.25">
      <c r="A10" s="74" t="s">
        <v>52</v>
      </c>
      <c r="C10" t="s">
        <v>51</v>
      </c>
    </row>
    <row r="11" spans="1:3" x14ac:dyDescent="0.25">
      <c r="A11" s="74"/>
    </row>
    <row r="12" spans="1:3" x14ac:dyDescent="0.25">
      <c r="A12" s="74" t="s">
        <v>60</v>
      </c>
      <c r="C12" t="s">
        <v>131</v>
      </c>
    </row>
    <row r="13" spans="1:3" x14ac:dyDescent="0.25">
      <c r="A13" s="74"/>
    </row>
    <row r="14" spans="1:3" x14ac:dyDescent="0.25">
      <c r="A14" s="74" t="s">
        <v>53</v>
      </c>
      <c r="C14" t="s">
        <v>132</v>
      </c>
    </row>
    <row r="15" spans="1:3" x14ac:dyDescent="0.25">
      <c r="A15" s="74"/>
    </row>
    <row r="16" spans="1:3" x14ac:dyDescent="0.25">
      <c r="A16" s="74" t="s">
        <v>54</v>
      </c>
      <c r="C16" t="s">
        <v>134</v>
      </c>
    </row>
    <row r="17" spans="1:3" x14ac:dyDescent="0.25">
      <c r="A17" s="74"/>
    </row>
    <row r="18" spans="1:3" x14ac:dyDescent="0.25">
      <c r="A18" s="74" t="s">
        <v>55</v>
      </c>
      <c r="C18" t="s">
        <v>133</v>
      </c>
    </row>
    <row r="19" spans="1:3" x14ac:dyDescent="0.25">
      <c r="A19" s="74"/>
    </row>
    <row r="20" spans="1:3" x14ac:dyDescent="0.25">
      <c r="A20" s="74" t="s">
        <v>56</v>
      </c>
      <c r="C20" t="s">
        <v>58</v>
      </c>
    </row>
    <row r="21" spans="1:3" x14ac:dyDescent="0.25">
      <c r="A21" s="74"/>
    </row>
    <row r="22" spans="1:3" x14ac:dyDescent="0.25">
      <c r="A22" s="74" t="s">
        <v>57</v>
      </c>
      <c r="C22" t="s">
        <v>59</v>
      </c>
    </row>
    <row r="24" spans="1:3" x14ac:dyDescent="0.25">
      <c r="C24" s="217" t="s">
        <v>137</v>
      </c>
    </row>
    <row r="25" spans="1:3" x14ac:dyDescent="0.25">
      <c r="C25" s="217" t="s">
        <v>136</v>
      </c>
    </row>
  </sheetData>
  <sheetProtection algorithmName="SHA-512" hashValue="A9vCCBjw5pjCn5KNLSa6qVfeti/yx9W1t9gZTRE5ceKwyardTQFHTjzoCSMVaSTvgIG8Hk/pRQoyep9bCZEDmA==" saltValue="W2PeIKjm9zKPjV94uGbP0g==" spinCount="100000" sheet="1" objects="1" scenarios="1"/>
  <customSheetViews>
    <customSheetView guid="{E2772306-AE06-43A8-AC22-D91D9C3C7EF8}">
      <selection activeCell="A27" sqref="A27"/>
      <pageMargins left="0.7" right="0.7" top="0.75" bottom="0.75" header="0.3" footer="0.3"/>
      <pageSetup paperSize="9" orientation="portrait" r:id="rId1"/>
    </customSheetView>
    <customSheetView guid="{238C921E-9284-4CD0-9CF6-84DD5C0E8B33}">
      <selection activeCell="A24" sqref="A24"/>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B1:L43"/>
  <sheetViews>
    <sheetView zoomScale="90" zoomScaleNormal="90" workbookViewId="0">
      <selection activeCell="D16" sqref="D16"/>
    </sheetView>
  </sheetViews>
  <sheetFormatPr defaultColWidth="9.140625" defaultRowHeight="15" x14ac:dyDescent="0.25"/>
  <cols>
    <col min="1" max="1" width="1.7109375" style="21" customWidth="1"/>
    <col min="2" max="2" width="75.7109375" style="21" customWidth="1"/>
    <col min="3" max="3" width="1.140625" style="21" customWidth="1"/>
    <col min="4" max="4" width="11.28515625" style="21" customWidth="1"/>
    <col min="5" max="5" width="1.140625" style="21" customWidth="1"/>
    <col min="6" max="6" width="13.28515625" style="21" customWidth="1"/>
    <col min="7" max="7" width="174.7109375" style="21" customWidth="1"/>
    <col min="8" max="8" width="16" style="21" customWidth="1"/>
    <col min="9" max="9" width="9.140625" style="21"/>
    <col min="10" max="10" width="16.85546875" style="21" bestFit="1" customWidth="1"/>
    <col min="11" max="11" width="14.28515625" style="21" bestFit="1" customWidth="1"/>
    <col min="12" max="12" width="38.7109375" style="22" customWidth="1"/>
    <col min="13" max="13" width="12" style="21" bestFit="1" customWidth="1"/>
    <col min="14" max="16384" width="9.140625" style="21"/>
  </cols>
  <sheetData>
    <row r="1" spans="2:7" ht="5.25" customHeight="1" thickBot="1" x14ac:dyDescent="0.3"/>
    <row r="2" spans="2:7" ht="15.75" customHeight="1" thickTop="1" x14ac:dyDescent="0.25">
      <c r="B2" s="198" t="s">
        <v>103</v>
      </c>
      <c r="C2" s="116"/>
      <c r="D2" s="199" t="s">
        <v>101</v>
      </c>
      <c r="E2" s="116"/>
      <c r="F2" s="232" t="s">
        <v>45</v>
      </c>
      <c r="G2" s="23" t="s">
        <v>104</v>
      </c>
    </row>
    <row r="3" spans="2:7" ht="15" customHeight="1" x14ac:dyDescent="0.25">
      <c r="B3" s="200" t="s">
        <v>11</v>
      </c>
      <c r="C3" s="196"/>
      <c r="D3" s="196"/>
      <c r="E3" s="196"/>
      <c r="F3" s="230"/>
      <c r="G3" s="82" t="s">
        <v>105</v>
      </c>
    </row>
    <row r="4" spans="2:7" ht="15" customHeight="1" x14ac:dyDescent="0.25">
      <c r="B4" s="201" t="s">
        <v>31</v>
      </c>
      <c r="C4" s="196"/>
      <c r="D4" s="287">
        <v>100</v>
      </c>
      <c r="E4" s="196"/>
      <c r="F4" s="230"/>
      <c r="G4" s="33"/>
    </row>
    <row r="5" spans="2:7" ht="15" customHeight="1" x14ac:dyDescent="0.25">
      <c r="B5" s="201" t="s">
        <v>13</v>
      </c>
      <c r="C5" s="196"/>
      <c r="D5" s="287">
        <v>150</v>
      </c>
      <c r="E5" s="196"/>
      <c r="F5" s="229" t="s">
        <v>3</v>
      </c>
      <c r="G5" s="33"/>
    </row>
    <row r="6" spans="2:7" ht="15" customHeight="1" x14ac:dyDescent="0.25">
      <c r="B6" s="201" t="s">
        <v>14</v>
      </c>
      <c r="C6" s="196"/>
      <c r="D6" s="287">
        <v>300</v>
      </c>
      <c r="E6" s="196"/>
      <c r="F6" s="229" t="s">
        <v>33</v>
      </c>
      <c r="G6" s="33"/>
    </row>
    <row r="7" spans="2:7" ht="15" customHeight="1" x14ac:dyDescent="0.25">
      <c r="B7" s="201" t="s">
        <v>38</v>
      </c>
      <c r="C7" s="196"/>
      <c r="D7" s="287">
        <v>50</v>
      </c>
      <c r="E7" s="196"/>
      <c r="F7" s="229" t="s">
        <v>1</v>
      </c>
      <c r="G7" s="33"/>
    </row>
    <row r="8" spans="2:7" ht="15" customHeight="1" x14ac:dyDescent="0.25">
      <c r="B8" s="201" t="s">
        <v>44</v>
      </c>
      <c r="C8" s="196"/>
      <c r="D8" s="288">
        <v>6</v>
      </c>
      <c r="E8" s="196"/>
      <c r="F8" s="229" t="s">
        <v>1</v>
      </c>
      <c r="G8" s="33"/>
    </row>
    <row r="9" spans="2:7" ht="15" customHeight="1" x14ac:dyDescent="0.25">
      <c r="B9" s="201" t="s">
        <v>22</v>
      </c>
      <c r="C9" s="196"/>
      <c r="D9" s="287">
        <v>530</v>
      </c>
      <c r="E9" s="196"/>
      <c r="F9" s="229"/>
      <c r="G9" s="33"/>
    </row>
    <row r="10" spans="2:7" ht="15" customHeight="1" x14ac:dyDescent="0.25">
      <c r="B10" s="201" t="s">
        <v>15</v>
      </c>
      <c r="C10" s="196"/>
      <c r="D10" s="287">
        <v>25</v>
      </c>
      <c r="E10" s="196"/>
      <c r="F10" s="229" t="s">
        <v>1</v>
      </c>
      <c r="G10" s="33"/>
    </row>
    <row r="11" spans="2:7" ht="15" customHeight="1" x14ac:dyDescent="0.25">
      <c r="B11" s="201" t="s">
        <v>16</v>
      </c>
      <c r="C11" s="196"/>
      <c r="D11" s="287">
        <v>30</v>
      </c>
      <c r="E11" s="196"/>
      <c r="F11" s="229" t="s">
        <v>1</v>
      </c>
      <c r="G11" s="33"/>
    </row>
    <row r="12" spans="2:7" ht="15" customHeight="1" x14ac:dyDescent="0.25">
      <c r="B12" s="201" t="s">
        <v>17</v>
      </c>
      <c r="C12" s="196"/>
      <c r="D12" s="287">
        <v>15</v>
      </c>
      <c r="E12" s="196"/>
      <c r="F12" s="229" t="s">
        <v>1</v>
      </c>
      <c r="G12" s="33"/>
    </row>
    <row r="13" spans="2:7" ht="15" customHeight="1" x14ac:dyDescent="0.25">
      <c r="B13" s="201" t="s">
        <v>64</v>
      </c>
      <c r="C13" s="196"/>
      <c r="D13" s="288">
        <v>5</v>
      </c>
      <c r="E13" s="196"/>
      <c r="F13" s="229" t="s">
        <v>1</v>
      </c>
      <c r="G13" s="33"/>
    </row>
    <row r="14" spans="2:7" ht="15" customHeight="1" x14ac:dyDescent="0.25">
      <c r="B14" s="201" t="s">
        <v>18</v>
      </c>
      <c r="C14" s="196"/>
      <c r="D14" s="288">
        <v>2</v>
      </c>
      <c r="E14" s="196"/>
      <c r="F14" s="229" t="s">
        <v>1</v>
      </c>
      <c r="G14" s="33"/>
    </row>
    <row r="15" spans="2:7" ht="6" customHeight="1" x14ac:dyDescent="0.25">
      <c r="B15" s="201"/>
      <c r="C15" s="196"/>
      <c r="D15" s="202"/>
      <c r="E15" s="196"/>
      <c r="F15" s="230"/>
      <c r="G15" s="27"/>
    </row>
    <row r="16" spans="2:7" ht="15" customHeight="1" x14ac:dyDescent="0.25">
      <c r="B16" s="200" t="s">
        <v>12</v>
      </c>
      <c r="C16" s="196"/>
      <c r="D16" s="202"/>
      <c r="E16" s="196"/>
      <c r="F16" s="228"/>
      <c r="G16" s="27"/>
    </row>
    <row r="17" spans="2:8" ht="15" customHeight="1" x14ac:dyDescent="0.25">
      <c r="B17" s="201" t="s">
        <v>68</v>
      </c>
      <c r="C17" s="196"/>
      <c r="D17" s="203">
        <f>ROUND(D8*86.3/100,2)</f>
        <v>5.18</v>
      </c>
      <c r="E17" s="204"/>
      <c r="F17" s="229" t="s">
        <v>1</v>
      </c>
      <c r="G17" s="27" t="s">
        <v>129</v>
      </c>
      <c r="H17" s="76"/>
    </row>
    <row r="18" spans="2:8" ht="15" customHeight="1" x14ac:dyDescent="0.25">
      <c r="B18" s="201" t="s">
        <v>118</v>
      </c>
      <c r="C18" s="196"/>
      <c r="D18" s="203">
        <f>ROUND(D17/D9,3)</f>
        <v>0.01</v>
      </c>
      <c r="E18" s="196"/>
      <c r="F18" s="229" t="s">
        <v>1</v>
      </c>
      <c r="G18" s="27"/>
      <c r="H18" s="76"/>
    </row>
    <row r="19" spans="2:8" ht="15" customHeight="1" x14ac:dyDescent="0.25">
      <c r="B19" s="201" t="s">
        <v>119</v>
      </c>
      <c r="C19" s="196"/>
      <c r="D19" s="203">
        <f>ROUND(D18*10000/(31.104),2)</f>
        <v>3.22</v>
      </c>
      <c r="E19" s="196"/>
      <c r="F19" s="229" t="s">
        <v>2</v>
      </c>
      <c r="G19" s="27" t="s">
        <v>116</v>
      </c>
    </row>
    <row r="20" spans="2:8" ht="15" customHeight="1" x14ac:dyDescent="0.25">
      <c r="B20" s="201" t="s">
        <v>5</v>
      </c>
      <c r="C20" s="196"/>
      <c r="D20" s="203">
        <f>D5*D7/100</f>
        <v>75</v>
      </c>
      <c r="E20" s="196"/>
      <c r="F20" s="229" t="s">
        <v>34</v>
      </c>
      <c r="G20" s="27"/>
    </row>
    <row r="21" spans="2:8" ht="15" customHeight="1" x14ac:dyDescent="0.25">
      <c r="B21" s="201" t="s">
        <v>8</v>
      </c>
      <c r="C21" s="196"/>
      <c r="D21" s="203">
        <f>D5*D6/1000</f>
        <v>45</v>
      </c>
      <c r="E21" s="196"/>
      <c r="F21" s="229" t="s">
        <v>65</v>
      </c>
      <c r="G21" s="27"/>
    </row>
    <row r="22" spans="2:8" ht="15" customHeight="1" x14ac:dyDescent="0.25">
      <c r="B22" s="201" t="s">
        <v>32</v>
      </c>
      <c r="C22" s="196"/>
      <c r="D22" s="203">
        <f>D7/100*D21</f>
        <v>22.5</v>
      </c>
      <c r="E22" s="196"/>
      <c r="F22" s="229" t="s">
        <v>65</v>
      </c>
      <c r="G22" s="27"/>
    </row>
    <row r="23" spans="2:8" ht="15" customHeight="1" x14ac:dyDescent="0.25">
      <c r="B23" s="205" t="s">
        <v>4</v>
      </c>
      <c r="C23" s="196"/>
      <c r="D23" s="206">
        <f>D21*D4</f>
        <v>4500</v>
      </c>
      <c r="E23" s="196"/>
      <c r="F23" s="229" t="s">
        <v>65</v>
      </c>
      <c r="G23" s="27"/>
    </row>
    <row r="24" spans="2:8" ht="15" customHeight="1" x14ac:dyDescent="0.25">
      <c r="B24" s="200" t="s">
        <v>0</v>
      </c>
      <c r="C24" s="196"/>
      <c r="D24" s="207">
        <f>D22*D4</f>
        <v>2250</v>
      </c>
      <c r="E24" s="196"/>
      <c r="F24" s="229" t="s">
        <v>65</v>
      </c>
      <c r="G24" s="27"/>
    </row>
    <row r="25" spans="2:8" ht="15" customHeight="1" x14ac:dyDescent="0.25">
      <c r="B25" s="201" t="s">
        <v>7</v>
      </c>
      <c r="C25" s="196"/>
      <c r="D25" s="203">
        <f>D24*D17/100</f>
        <v>116.55</v>
      </c>
      <c r="E25" s="196"/>
      <c r="F25" s="229" t="s">
        <v>65</v>
      </c>
      <c r="G25" s="27" t="s">
        <v>70</v>
      </c>
    </row>
    <row r="26" spans="2:8" ht="15" customHeight="1" x14ac:dyDescent="0.25">
      <c r="B26" s="201" t="s">
        <v>63</v>
      </c>
      <c r="C26" s="196"/>
      <c r="D26" s="203">
        <f>D25/D9</f>
        <v>0.21990566037735848</v>
      </c>
      <c r="E26" s="196"/>
      <c r="F26" s="229" t="s">
        <v>65</v>
      </c>
      <c r="G26" s="27" t="s">
        <v>70</v>
      </c>
    </row>
    <row r="27" spans="2:8" ht="15" customHeight="1" x14ac:dyDescent="0.25">
      <c r="B27" s="201" t="s">
        <v>28</v>
      </c>
      <c r="C27" s="196"/>
      <c r="D27" s="208">
        <f>D25*(100-D10)/100</f>
        <v>87.412499999999994</v>
      </c>
      <c r="E27" s="196"/>
      <c r="F27" s="229" t="s">
        <v>65</v>
      </c>
      <c r="G27" s="27" t="s">
        <v>71</v>
      </c>
    </row>
    <row r="28" spans="2:8" ht="15" customHeight="1" x14ac:dyDescent="0.25">
      <c r="B28" s="201" t="s">
        <v>29</v>
      </c>
      <c r="C28" s="196"/>
      <c r="D28" s="203">
        <f>D26*(100-D10)/100</f>
        <v>0.16492924528301883</v>
      </c>
      <c r="E28" s="196"/>
      <c r="F28" s="229" t="s">
        <v>65</v>
      </c>
      <c r="G28" s="27" t="s">
        <v>72</v>
      </c>
    </row>
    <row r="29" spans="2:8" ht="6" customHeight="1" x14ac:dyDescent="0.25">
      <c r="B29" s="201"/>
      <c r="C29" s="196"/>
      <c r="D29" s="202"/>
      <c r="E29" s="196"/>
      <c r="F29" s="229"/>
      <c r="G29" s="27"/>
    </row>
    <row r="30" spans="2:8" ht="15" customHeight="1" x14ac:dyDescent="0.25">
      <c r="B30" s="201" t="s">
        <v>26</v>
      </c>
      <c r="C30" s="196"/>
      <c r="D30" s="203">
        <f>D27*(100-D11)/100</f>
        <v>61.188749999999999</v>
      </c>
      <c r="E30" s="196"/>
      <c r="F30" s="229" t="s">
        <v>65</v>
      </c>
      <c r="G30" s="27"/>
    </row>
    <row r="31" spans="2:8" ht="15" customHeight="1" x14ac:dyDescent="0.25">
      <c r="B31" s="201" t="s">
        <v>27</v>
      </c>
      <c r="C31" s="196"/>
      <c r="D31" s="203">
        <f>D28*(100-D13)/100</f>
        <v>0.15668278301886787</v>
      </c>
      <c r="E31" s="196"/>
      <c r="F31" s="229" t="s">
        <v>65</v>
      </c>
      <c r="G31" s="27"/>
    </row>
    <row r="32" spans="2:8" ht="6" customHeight="1" x14ac:dyDescent="0.25">
      <c r="B32" s="201"/>
      <c r="C32" s="196"/>
      <c r="D32" s="202"/>
      <c r="E32" s="196"/>
      <c r="F32" s="230"/>
      <c r="G32" s="27"/>
    </row>
    <row r="33" spans="2:7" ht="15" customHeight="1" x14ac:dyDescent="0.25">
      <c r="B33" s="201" t="s">
        <v>47</v>
      </c>
      <c r="C33" s="196"/>
      <c r="D33" s="203">
        <f>D31*100/D30</f>
        <v>0.25606469002695409</v>
      </c>
      <c r="E33" s="196"/>
      <c r="F33" s="229" t="s">
        <v>1</v>
      </c>
      <c r="G33" s="27"/>
    </row>
    <row r="34" spans="2:7" ht="15" customHeight="1" x14ac:dyDescent="0.25">
      <c r="B34" s="201" t="s">
        <v>48</v>
      </c>
      <c r="C34" s="196"/>
      <c r="D34" s="209">
        <f>ROUND(D33*1000/31.104,1)</f>
        <v>8.1999999999999993</v>
      </c>
      <c r="E34" s="203"/>
      <c r="F34" s="229" t="s">
        <v>69</v>
      </c>
      <c r="G34" s="27"/>
    </row>
    <row r="35" spans="2:7" ht="6" customHeight="1" x14ac:dyDescent="0.25">
      <c r="B35" s="201"/>
      <c r="C35" s="196"/>
      <c r="D35" s="202"/>
      <c r="E35" s="196"/>
      <c r="F35" s="229"/>
      <c r="G35" s="27"/>
    </row>
    <row r="36" spans="2:7" ht="15" customHeight="1" x14ac:dyDescent="0.25">
      <c r="B36" s="201" t="s">
        <v>39</v>
      </c>
      <c r="C36" s="196"/>
      <c r="D36" s="209">
        <f>D30*(100-D12)/100</f>
        <v>52.010437499999995</v>
      </c>
      <c r="E36" s="117"/>
      <c r="F36" s="229" t="s">
        <v>65</v>
      </c>
      <c r="G36" s="27"/>
    </row>
    <row r="37" spans="2:7" ht="15" customHeight="1" x14ac:dyDescent="0.25">
      <c r="B37" s="201" t="s">
        <v>30</v>
      </c>
      <c r="C37" s="196"/>
      <c r="D37" s="210">
        <f>D31*(100-D14)/100</f>
        <v>0.15354912735849052</v>
      </c>
      <c r="E37" s="211"/>
      <c r="F37" s="229" t="s">
        <v>65</v>
      </c>
      <c r="G37" s="27"/>
    </row>
    <row r="38" spans="2:7" ht="15" customHeight="1" x14ac:dyDescent="0.25">
      <c r="B38" s="201" t="s">
        <v>9</v>
      </c>
      <c r="C38" s="196"/>
      <c r="D38" s="209">
        <f>100*(D25-D36)/D25</f>
        <v>55.375</v>
      </c>
      <c r="E38" s="117"/>
      <c r="F38" s="229" t="s">
        <v>1</v>
      </c>
      <c r="G38" s="27"/>
    </row>
    <row r="39" spans="2:7" ht="15" customHeight="1" x14ac:dyDescent="0.25">
      <c r="B39" s="201" t="s">
        <v>10</v>
      </c>
      <c r="C39" s="196"/>
      <c r="D39" s="209">
        <f>100*(D26-D37)/D26</f>
        <v>30.175000000000018</v>
      </c>
      <c r="E39" s="117"/>
      <c r="F39" s="229" t="s">
        <v>1</v>
      </c>
      <c r="G39" s="27"/>
    </row>
    <row r="40" spans="2:7" ht="15" customHeight="1" x14ac:dyDescent="0.25">
      <c r="B40" s="201" t="s">
        <v>6</v>
      </c>
      <c r="C40" s="196"/>
      <c r="D40" s="212">
        <f>ROUND(D36/D37,0)</f>
        <v>339</v>
      </c>
      <c r="E40" s="196"/>
      <c r="F40" s="229"/>
      <c r="G40" s="27" t="s">
        <v>73</v>
      </c>
    </row>
    <row r="41" spans="2:7" ht="15" customHeight="1" x14ac:dyDescent="0.25">
      <c r="B41" s="201" t="s">
        <v>46</v>
      </c>
      <c r="C41" s="196"/>
      <c r="D41" s="213">
        <f>ROUND(D37*1000/D4,1)</f>
        <v>1.5</v>
      </c>
      <c r="E41" s="196"/>
      <c r="F41" s="229" t="s">
        <v>66</v>
      </c>
      <c r="G41" s="27" t="s">
        <v>140</v>
      </c>
    </row>
    <row r="42" spans="2:7" ht="15" customHeight="1" thickBot="1" x14ac:dyDescent="0.3">
      <c r="B42" s="214" t="s">
        <v>67</v>
      </c>
      <c r="C42" s="197"/>
      <c r="D42" s="215">
        <f>ROUND(0.5*D41,2)</f>
        <v>0.75</v>
      </c>
      <c r="E42" s="197"/>
      <c r="F42" s="231" t="s">
        <v>66</v>
      </c>
      <c r="G42" s="78" t="s">
        <v>141</v>
      </c>
    </row>
    <row r="43" spans="2:7" ht="15.75" thickTop="1" x14ac:dyDescent="0.25"/>
  </sheetData>
  <sheetProtection algorithmName="SHA-512" hashValue="QbnHD/aWKtSFegGz6bV0OeQP2im4pO5y+ahL8lJvXeTcM5BIR6v6Af1EuwY3f7ua62i+DEGrbRS9Rg1Gs6MUmw==" saltValue="GxPbin/J9dfG487Z3EFrpQ==" spinCount="100000" sheet="1" objects="1" scenarios="1"/>
  <customSheetViews>
    <customSheetView guid="{E2772306-AE06-43A8-AC22-D91D9C3C7EF8}" scale="75" fitToPage="1">
      <selection activeCell="A36" sqref="A36"/>
      <pageMargins left="0.39370078740157483" right="0.39370078740157483" top="1.1811023622047245" bottom="0.39370078740157483" header="0.59055118110236227" footer="0.31496062992125984"/>
      <pageSetup paperSize="9" scale="49" orientation="landscape" r:id="rId1"/>
      <headerFooter>
        <oddHeader>&amp;C&amp;"-,Bold"&amp;14Melle production models
Leigh Bettenay 2021</oddHeader>
        <oddFooter>&amp;RPrinted:&amp;T&amp;D</oddFooter>
      </headerFooter>
    </customSheetView>
    <customSheetView guid="{238C921E-9284-4CD0-9CF6-84DD5C0E8B33}" scale="75" fitToPage="1">
      <selection activeCell="G24" sqref="G24"/>
      <pageMargins left="0.39370078740157483" right="0.39370078740157483" top="1.1811023622047245" bottom="0.39370078740157483" header="0.59055118110236227" footer="0.31496062992125984"/>
      <pageSetup paperSize="9" scale="52" orientation="landscape" r:id="rId2"/>
      <headerFooter>
        <oddHeader>&amp;C&amp;"-,Bold"&amp;14Melle production models
Leigh Bettenay 2021</oddHeader>
        <oddFooter>&amp;RPrinted:&amp;T&amp;D</oddFooter>
      </headerFooter>
    </customSheetView>
  </customSheetViews>
  <phoneticPr fontId="17" type="noConversion"/>
  <dataValidations count="1">
    <dataValidation type="custom" showInputMessage="1" showErrorMessage="1" error="Please enter a valid number" sqref="D4:D14" xr:uid="{2A38C63D-1F8F-4BFE-8F5F-AC06961A0C16}">
      <formula1>ISNUMBER(D4)</formula1>
    </dataValidation>
  </dataValidations>
  <pageMargins left="0.39370078740157483" right="0.39370078740157483" top="1.1811023622047245" bottom="0.39370078740157483" header="0.59055118110236227" footer="0.31496062992125984"/>
  <pageSetup paperSize="9" scale="49" orientation="landscape" r:id="rId3"/>
  <headerFooter>
    <oddHeader>&amp;C&amp;"-,Bold"&amp;14Melle production models
Leigh Bettenay 2022</oddHeader>
    <oddFooter>&amp;RPrinted:&amp;T&amp;D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B1:L48"/>
  <sheetViews>
    <sheetView zoomScale="89" zoomScaleNormal="89" workbookViewId="0">
      <selection activeCell="D21" sqref="D21"/>
    </sheetView>
  </sheetViews>
  <sheetFormatPr defaultColWidth="9.140625" defaultRowHeight="15" x14ac:dyDescent="0.25"/>
  <cols>
    <col min="1" max="1" width="1.7109375" style="21" customWidth="1"/>
    <col min="2" max="2" width="75.7109375" style="21" customWidth="1"/>
    <col min="3" max="3" width="1.140625" style="21" customWidth="1"/>
    <col min="4" max="4" width="11.28515625" style="21" customWidth="1"/>
    <col min="5" max="5" width="2.42578125" style="79" customWidth="1"/>
    <col min="6" max="6" width="13.28515625" style="21" customWidth="1"/>
    <col min="7" max="7" width="174.7109375" style="21" customWidth="1"/>
    <col min="8" max="8" width="16" style="21" customWidth="1"/>
    <col min="9" max="9" width="9.140625" style="21"/>
    <col min="10" max="10" width="16.85546875" style="21" bestFit="1" customWidth="1"/>
    <col min="11" max="11" width="14.28515625" style="21" bestFit="1" customWidth="1"/>
    <col min="12" max="12" width="38.7109375" style="22" customWidth="1"/>
    <col min="13" max="13" width="12" style="21" bestFit="1" customWidth="1"/>
    <col min="14" max="16384" width="9.140625" style="21"/>
  </cols>
  <sheetData>
    <row r="1" spans="2:7" ht="5.25" customHeight="1" thickBot="1" x14ac:dyDescent="0.3"/>
    <row r="2" spans="2:7" ht="15.75" thickTop="1" x14ac:dyDescent="0.25">
      <c r="B2" s="88" t="s">
        <v>102</v>
      </c>
      <c r="C2" s="233"/>
      <c r="D2" s="236" t="s">
        <v>101</v>
      </c>
      <c r="E2" s="237"/>
      <c r="F2" s="236" t="s">
        <v>45</v>
      </c>
      <c r="G2" s="94" t="s">
        <v>117</v>
      </c>
    </row>
    <row r="3" spans="2:7" x14ac:dyDescent="0.25">
      <c r="B3" s="24" t="s">
        <v>11</v>
      </c>
      <c r="C3" s="234"/>
      <c r="D3" s="238"/>
      <c r="E3" s="239"/>
      <c r="F3" s="238"/>
      <c r="G3" s="27"/>
    </row>
    <row r="4" spans="2:7" x14ac:dyDescent="0.25">
      <c r="B4" s="77" t="s">
        <v>85</v>
      </c>
      <c r="C4" s="234"/>
      <c r="D4" s="285">
        <v>430</v>
      </c>
      <c r="E4" s="240"/>
      <c r="F4" s="238"/>
      <c r="G4" s="80"/>
    </row>
    <row r="5" spans="2:7" x14ac:dyDescent="0.25">
      <c r="B5" s="77" t="s">
        <v>19</v>
      </c>
      <c r="C5" s="234"/>
      <c r="D5" s="285">
        <v>70</v>
      </c>
      <c r="E5" s="240" t="s">
        <v>20</v>
      </c>
      <c r="F5" s="241">
        <f>ROUND(D5/100*D4,0)</f>
        <v>301</v>
      </c>
      <c r="G5" s="81" t="s">
        <v>122</v>
      </c>
    </row>
    <row r="6" spans="2:7" x14ac:dyDescent="0.25">
      <c r="B6" s="77" t="s">
        <v>37</v>
      </c>
      <c r="C6" s="234"/>
      <c r="D6" s="285">
        <v>20</v>
      </c>
      <c r="E6" s="240" t="s">
        <v>20</v>
      </c>
      <c r="F6" s="239">
        <f>ROUND(D6/100*F5,0)</f>
        <v>60</v>
      </c>
      <c r="G6" s="27" t="s">
        <v>84</v>
      </c>
    </row>
    <row r="7" spans="2:7" x14ac:dyDescent="0.25">
      <c r="B7" s="77" t="s">
        <v>24</v>
      </c>
      <c r="C7" s="234"/>
      <c r="D7" s="285">
        <v>25</v>
      </c>
      <c r="E7" s="240" t="s">
        <v>20</v>
      </c>
      <c r="F7" s="239">
        <f>ROUND(D7/100*F5,0)</f>
        <v>75</v>
      </c>
      <c r="G7" s="27" t="s">
        <v>75</v>
      </c>
    </row>
    <row r="8" spans="2:7" x14ac:dyDescent="0.25">
      <c r="B8" s="77" t="s">
        <v>135</v>
      </c>
      <c r="C8" s="234"/>
      <c r="D8" s="242">
        <f>100-(D6+D7)</f>
        <v>55</v>
      </c>
      <c r="E8" s="240" t="s">
        <v>20</v>
      </c>
      <c r="F8" s="241">
        <f>IF(D6+D7&gt;100, "ERROR",ROUND((F5*(100-(D6+D7))/100),0))</f>
        <v>166</v>
      </c>
      <c r="G8" s="81" t="s">
        <v>138</v>
      </c>
    </row>
    <row r="9" spans="2:7" x14ac:dyDescent="0.25">
      <c r="B9" s="77" t="s">
        <v>23</v>
      </c>
      <c r="C9" s="234"/>
      <c r="D9" s="285">
        <v>60</v>
      </c>
      <c r="E9" s="240" t="s">
        <v>20</v>
      </c>
      <c r="F9" s="243">
        <f>ROUND(D9/100*F8,0)</f>
        <v>100</v>
      </c>
      <c r="G9" s="81" t="s">
        <v>76</v>
      </c>
    </row>
    <row r="10" spans="2:7" x14ac:dyDescent="0.25">
      <c r="B10" s="26" t="s">
        <v>13</v>
      </c>
      <c r="C10" s="234"/>
      <c r="D10" s="285">
        <v>150</v>
      </c>
      <c r="E10" s="240"/>
      <c r="F10" s="244" t="s">
        <v>3</v>
      </c>
      <c r="G10" s="27" t="s">
        <v>77</v>
      </c>
    </row>
    <row r="11" spans="2:7" x14ac:dyDescent="0.25">
      <c r="B11" s="26" t="s">
        <v>14</v>
      </c>
      <c r="C11" s="234"/>
      <c r="D11" s="285">
        <v>300</v>
      </c>
      <c r="E11" s="240"/>
      <c r="F11" s="244" t="s">
        <v>33</v>
      </c>
      <c r="G11" s="27" t="s">
        <v>78</v>
      </c>
    </row>
    <row r="12" spans="2:7" x14ac:dyDescent="0.25">
      <c r="B12" s="26" t="s">
        <v>38</v>
      </c>
      <c r="C12" s="234"/>
      <c r="D12" s="285">
        <v>50</v>
      </c>
      <c r="E12" s="240"/>
      <c r="F12" s="244" t="s">
        <v>1</v>
      </c>
      <c r="G12" s="27" t="s">
        <v>89</v>
      </c>
    </row>
    <row r="13" spans="2:7" x14ac:dyDescent="0.25">
      <c r="B13" s="26" t="s">
        <v>44</v>
      </c>
      <c r="C13" s="234"/>
      <c r="D13" s="286">
        <v>6</v>
      </c>
      <c r="E13" s="240"/>
      <c r="F13" s="244" t="s">
        <v>1</v>
      </c>
      <c r="G13" s="27" t="s">
        <v>124</v>
      </c>
    </row>
    <row r="14" spans="2:7" x14ac:dyDescent="0.25">
      <c r="B14" s="26" t="s">
        <v>22</v>
      </c>
      <c r="C14" s="234"/>
      <c r="D14" s="285">
        <v>536</v>
      </c>
      <c r="E14" s="240"/>
      <c r="F14" s="244"/>
      <c r="G14" s="27" t="s">
        <v>79</v>
      </c>
    </row>
    <row r="15" spans="2:7" x14ac:dyDescent="0.25">
      <c r="B15" s="26" t="s">
        <v>15</v>
      </c>
      <c r="C15" s="234"/>
      <c r="D15" s="285">
        <v>25</v>
      </c>
      <c r="E15" s="240"/>
      <c r="F15" s="244" t="s">
        <v>1</v>
      </c>
      <c r="G15" s="27" t="s">
        <v>127</v>
      </c>
    </row>
    <row r="16" spans="2:7" x14ac:dyDescent="0.25">
      <c r="B16" s="26" t="s">
        <v>16</v>
      </c>
      <c r="C16" s="234"/>
      <c r="D16" s="285">
        <v>30</v>
      </c>
      <c r="E16" s="240"/>
      <c r="F16" s="244" t="s">
        <v>1</v>
      </c>
      <c r="G16" s="27" t="s">
        <v>81</v>
      </c>
    </row>
    <row r="17" spans="2:8" x14ac:dyDescent="0.25">
      <c r="B17" s="26" t="s">
        <v>17</v>
      </c>
      <c r="C17" s="234"/>
      <c r="D17" s="285">
        <v>15</v>
      </c>
      <c r="E17" s="240"/>
      <c r="F17" s="244" t="s">
        <v>1</v>
      </c>
      <c r="G17" s="27" t="s">
        <v>82</v>
      </c>
    </row>
    <row r="18" spans="2:8" x14ac:dyDescent="0.25">
      <c r="B18" s="26" t="s">
        <v>64</v>
      </c>
      <c r="C18" s="234"/>
      <c r="D18" s="286">
        <v>5</v>
      </c>
      <c r="E18" s="240"/>
      <c r="F18" s="244" t="s">
        <v>1</v>
      </c>
      <c r="G18" s="27" t="s">
        <v>83</v>
      </c>
    </row>
    <row r="19" spans="2:8" x14ac:dyDescent="0.25">
      <c r="B19" s="26" t="s">
        <v>21</v>
      </c>
      <c r="C19" s="234"/>
      <c r="D19" s="286">
        <v>2</v>
      </c>
      <c r="E19" s="240"/>
      <c r="F19" s="244" t="s">
        <v>1</v>
      </c>
      <c r="G19" s="27" t="s">
        <v>80</v>
      </c>
    </row>
    <row r="20" spans="2:8" ht="6" customHeight="1" x14ac:dyDescent="0.25">
      <c r="B20" s="26"/>
      <c r="C20" s="234"/>
      <c r="D20" s="245"/>
      <c r="E20" s="240"/>
      <c r="F20" s="238"/>
      <c r="G20" s="27"/>
    </row>
    <row r="21" spans="2:8" x14ac:dyDescent="0.25">
      <c r="B21" s="24" t="s">
        <v>12</v>
      </c>
      <c r="C21" s="234"/>
      <c r="D21" s="245"/>
      <c r="E21" s="240"/>
      <c r="F21" s="238"/>
      <c r="G21" s="27"/>
    </row>
    <row r="22" spans="2:8" ht="16.5" x14ac:dyDescent="0.25">
      <c r="B22" s="26" t="s">
        <v>68</v>
      </c>
      <c r="C22" s="234"/>
      <c r="D22" s="244">
        <f>ROUND(D13*86.3/100,2)</f>
        <v>5.18</v>
      </c>
      <c r="E22" s="239"/>
      <c r="F22" s="244" t="s">
        <v>1</v>
      </c>
      <c r="G22" s="27" t="s">
        <v>129</v>
      </c>
      <c r="H22" s="76"/>
    </row>
    <row r="23" spans="2:8" ht="16.5" x14ac:dyDescent="0.25">
      <c r="B23" s="26" t="s">
        <v>118</v>
      </c>
      <c r="C23" s="234"/>
      <c r="D23" s="244">
        <f>ROUND(D22/D14,3)</f>
        <v>0.01</v>
      </c>
      <c r="E23" s="239"/>
      <c r="F23" s="244" t="s">
        <v>1</v>
      </c>
      <c r="G23" s="27"/>
      <c r="H23" s="76"/>
    </row>
    <row r="24" spans="2:8" x14ac:dyDescent="0.25">
      <c r="B24" s="26" t="s">
        <v>119</v>
      </c>
      <c r="C24" s="234"/>
      <c r="D24" s="244">
        <f>ROUND(D23*10000/(31.1),2)</f>
        <v>3.22</v>
      </c>
      <c r="E24" s="239"/>
      <c r="F24" s="244" t="s">
        <v>2</v>
      </c>
      <c r="G24" s="27" t="s">
        <v>116</v>
      </c>
    </row>
    <row r="25" spans="2:8" x14ac:dyDescent="0.25">
      <c r="B25" s="26" t="s">
        <v>5</v>
      </c>
      <c r="C25" s="234"/>
      <c r="D25" s="244">
        <f>D10*D12/100</f>
        <v>75</v>
      </c>
      <c r="E25" s="246"/>
      <c r="F25" s="244" t="s">
        <v>34</v>
      </c>
      <c r="G25" s="27"/>
    </row>
    <row r="26" spans="2:8" x14ac:dyDescent="0.25">
      <c r="B26" s="26" t="s">
        <v>8</v>
      </c>
      <c r="C26" s="234"/>
      <c r="D26" s="247">
        <f>D10*D11/1000</f>
        <v>45</v>
      </c>
      <c r="E26" s="239"/>
      <c r="F26" s="244" t="s">
        <v>65</v>
      </c>
      <c r="G26" s="27"/>
    </row>
    <row r="27" spans="2:8" x14ac:dyDescent="0.25">
      <c r="B27" s="26" t="s">
        <v>74</v>
      </c>
      <c r="C27" s="234"/>
      <c r="D27" s="247">
        <f>D12/100*D26</f>
        <v>22.5</v>
      </c>
      <c r="E27" s="239"/>
      <c r="F27" s="244" t="s">
        <v>65</v>
      </c>
      <c r="G27" s="27"/>
    </row>
    <row r="28" spans="2:8" x14ac:dyDescent="0.25">
      <c r="B28" s="77" t="s">
        <v>4</v>
      </c>
      <c r="C28" s="234"/>
      <c r="D28" s="248">
        <f>D26*F9</f>
        <v>4500</v>
      </c>
      <c r="E28" s="249"/>
      <c r="F28" s="244" t="s">
        <v>65</v>
      </c>
      <c r="G28" s="27"/>
    </row>
    <row r="29" spans="2:8" x14ac:dyDescent="0.25">
      <c r="B29" s="24" t="s">
        <v>0</v>
      </c>
      <c r="C29" s="234"/>
      <c r="D29" s="250">
        <f>D27*F9</f>
        <v>2250</v>
      </c>
      <c r="E29" s="251"/>
      <c r="F29" s="244" t="s">
        <v>65</v>
      </c>
      <c r="G29" s="27"/>
    </row>
    <row r="30" spans="2:8" x14ac:dyDescent="0.25">
      <c r="B30" s="26" t="s">
        <v>7</v>
      </c>
      <c r="C30" s="234"/>
      <c r="D30" s="244">
        <f>D29*D22/100</f>
        <v>116.55</v>
      </c>
      <c r="E30" s="252"/>
      <c r="F30" s="244" t="s">
        <v>65</v>
      </c>
      <c r="G30" s="27" t="s">
        <v>70</v>
      </c>
    </row>
    <row r="31" spans="2:8" x14ac:dyDescent="0.25">
      <c r="B31" s="26" t="s">
        <v>63</v>
      </c>
      <c r="C31" s="234"/>
      <c r="D31" s="244">
        <f>D30/D14</f>
        <v>0.21744402985074626</v>
      </c>
      <c r="E31" s="253"/>
      <c r="F31" s="244" t="s">
        <v>65</v>
      </c>
      <c r="G31" s="27" t="s">
        <v>70</v>
      </c>
    </row>
    <row r="32" spans="2:8" x14ac:dyDescent="0.25">
      <c r="B32" s="26" t="s">
        <v>28</v>
      </c>
      <c r="C32" s="234"/>
      <c r="D32" s="254">
        <f>D30*(100-D15)/100</f>
        <v>87.412499999999994</v>
      </c>
      <c r="E32" s="251"/>
      <c r="F32" s="244" t="s">
        <v>65</v>
      </c>
      <c r="G32" s="27" t="s">
        <v>71</v>
      </c>
    </row>
    <row r="33" spans="2:7" x14ac:dyDescent="0.25">
      <c r="B33" s="26" t="s">
        <v>29</v>
      </c>
      <c r="C33" s="234"/>
      <c r="D33" s="244">
        <f>D31*(100-D15)/100</f>
        <v>0.16308302238805969</v>
      </c>
      <c r="E33" s="246"/>
      <c r="F33" s="244" t="s">
        <v>65</v>
      </c>
      <c r="G33" s="27" t="s">
        <v>72</v>
      </c>
    </row>
    <row r="34" spans="2:7" ht="6" customHeight="1" x14ac:dyDescent="0.25">
      <c r="B34" s="26"/>
      <c r="C34" s="234"/>
      <c r="D34" s="245"/>
      <c r="E34" s="240"/>
      <c r="F34" s="244"/>
      <c r="G34" s="27"/>
    </row>
    <row r="35" spans="2:7" x14ac:dyDescent="0.25">
      <c r="B35" s="26" t="s">
        <v>26</v>
      </c>
      <c r="C35" s="234"/>
      <c r="D35" s="244">
        <f>D32*(100-D16)/100</f>
        <v>61.188749999999999</v>
      </c>
      <c r="E35" s="252"/>
      <c r="F35" s="244" t="s">
        <v>65</v>
      </c>
      <c r="G35" s="27"/>
    </row>
    <row r="36" spans="2:7" x14ac:dyDescent="0.25">
      <c r="B36" s="26" t="s">
        <v>27</v>
      </c>
      <c r="C36" s="234"/>
      <c r="D36" s="244">
        <f>D33*(100-D18)/100</f>
        <v>0.1549288712686567</v>
      </c>
      <c r="E36" s="253"/>
      <c r="F36" s="244" t="s">
        <v>65</v>
      </c>
      <c r="G36" s="27"/>
    </row>
    <row r="37" spans="2:7" ht="6" customHeight="1" x14ac:dyDescent="0.25">
      <c r="B37" s="26"/>
      <c r="C37" s="234"/>
      <c r="D37" s="245"/>
      <c r="E37" s="240"/>
      <c r="F37" s="244"/>
      <c r="G37" s="27"/>
    </row>
    <row r="38" spans="2:7" x14ac:dyDescent="0.25">
      <c r="B38" s="26" t="s">
        <v>47</v>
      </c>
      <c r="C38" s="234"/>
      <c r="D38" s="244">
        <f>D36*100/D35</f>
        <v>0.25319829424307033</v>
      </c>
      <c r="E38" s="246"/>
      <c r="F38" s="244" t="s">
        <v>1</v>
      </c>
      <c r="G38" s="27"/>
    </row>
    <row r="39" spans="2:7" x14ac:dyDescent="0.25">
      <c r="B39" s="26" t="s">
        <v>48</v>
      </c>
      <c r="C39" s="234"/>
      <c r="D39" s="247">
        <f>ROUND(D38*1000/31.1,1)</f>
        <v>8.1</v>
      </c>
      <c r="E39" s="253"/>
      <c r="F39" s="244" t="s">
        <v>2</v>
      </c>
      <c r="G39" s="27"/>
    </row>
    <row r="40" spans="2:7" ht="6" customHeight="1" x14ac:dyDescent="0.25">
      <c r="B40" s="26"/>
      <c r="C40" s="234"/>
      <c r="D40" s="245"/>
      <c r="E40" s="240"/>
      <c r="F40" s="244"/>
      <c r="G40" s="27"/>
    </row>
    <row r="41" spans="2:7" x14ac:dyDescent="0.25">
      <c r="B41" s="26" t="s">
        <v>39</v>
      </c>
      <c r="C41" s="234"/>
      <c r="D41" s="247">
        <f>D35*(100-D17)/100</f>
        <v>52.010437499999995</v>
      </c>
      <c r="E41" s="253"/>
      <c r="F41" s="244" t="s">
        <v>65</v>
      </c>
      <c r="G41" s="27"/>
    </row>
    <row r="42" spans="2:7" x14ac:dyDescent="0.25">
      <c r="B42" s="26" t="s">
        <v>30</v>
      </c>
      <c r="C42" s="234"/>
      <c r="D42" s="255">
        <f>D36*(100-D19)/100</f>
        <v>0.15183029384328356</v>
      </c>
      <c r="E42" s="256"/>
      <c r="F42" s="244" t="s">
        <v>65</v>
      </c>
      <c r="G42" s="27"/>
    </row>
    <row r="43" spans="2:7" x14ac:dyDescent="0.25">
      <c r="B43" s="26" t="s">
        <v>9</v>
      </c>
      <c r="C43" s="234"/>
      <c r="D43" s="247">
        <f>100*(D30-D41)/D30</f>
        <v>55.375</v>
      </c>
      <c r="E43" s="253"/>
      <c r="F43" s="244" t="s">
        <v>1</v>
      </c>
      <c r="G43" s="27"/>
    </row>
    <row r="44" spans="2:7" x14ac:dyDescent="0.25">
      <c r="B44" s="26" t="s">
        <v>10</v>
      </c>
      <c r="C44" s="234"/>
      <c r="D44" s="247">
        <f>100*(D31-D42)/D31</f>
        <v>30.175000000000008</v>
      </c>
      <c r="E44" s="253"/>
      <c r="F44" s="244" t="s">
        <v>1</v>
      </c>
      <c r="G44" s="27"/>
    </row>
    <row r="45" spans="2:7" x14ac:dyDescent="0.25">
      <c r="B45" s="26" t="s">
        <v>6</v>
      </c>
      <c r="C45" s="234"/>
      <c r="D45" s="257">
        <f>ROUND(D41/D42,0)</f>
        <v>343</v>
      </c>
      <c r="E45" s="253"/>
      <c r="F45" s="244"/>
      <c r="G45" s="27" t="s">
        <v>73</v>
      </c>
    </row>
    <row r="46" spans="2:7" x14ac:dyDescent="0.25">
      <c r="B46" s="26" t="s">
        <v>46</v>
      </c>
      <c r="C46" s="234"/>
      <c r="D46" s="258">
        <f>ROUND(D42*1000/F9,1)</f>
        <v>1.5</v>
      </c>
      <c r="E46" s="253"/>
      <c r="F46" s="244" t="s">
        <v>66</v>
      </c>
      <c r="G46" s="27" t="s">
        <v>140</v>
      </c>
    </row>
    <row r="47" spans="2:7" ht="15.75" thickBot="1" x14ac:dyDescent="0.3">
      <c r="B47" s="32" t="s">
        <v>25</v>
      </c>
      <c r="C47" s="235"/>
      <c r="D47" s="259">
        <f>ROUND(D42*1000/F8,1)</f>
        <v>0.9</v>
      </c>
      <c r="E47" s="260"/>
      <c r="F47" s="261" t="s">
        <v>66</v>
      </c>
      <c r="G47" s="78" t="s">
        <v>141</v>
      </c>
    </row>
    <row r="48" spans="2:7" ht="15.75" thickTop="1" x14ac:dyDescent="0.25"/>
  </sheetData>
  <sheetProtection algorithmName="SHA-512" hashValue="hPPHKt6sONkdeNyeII1H0zoagI6WoSg43e07JDt+oeeTmmad2331fwKwvb292v9mrjEMs/lRivmUgNvAg/eTzw==" saltValue="4+O3NWHaJ5urLdM9sAifew==" spinCount="100000" sheet="1" objects="1" scenarios="1"/>
  <customSheetViews>
    <customSheetView guid="{E2772306-AE06-43A8-AC22-D91D9C3C7EF8}" scale="75" fitToPage="1">
      <selection activeCell="B24" sqref="B24"/>
      <pageMargins left="0.39370078740157483" right="0.39370078740157483" top="1.1811023622047245" bottom="0.39370078740157483" header="0.59055118110236227" footer="0.31496062992125984"/>
      <pageSetup paperSize="9" scale="50" orientation="landscape" r:id="rId1"/>
      <headerFooter>
        <oddHeader>&amp;C&amp;"-,Bold"&amp;14Melle production models
Leigh Bettenay 2021</oddHeader>
        <oddFooter>&amp;RPrinted:&amp;T&amp;D</oddFooter>
      </headerFooter>
    </customSheetView>
    <customSheetView guid="{238C921E-9284-4CD0-9CF6-84DD5C0E8B33}" scale="75" fitToPage="1" topLeftCell="A7">
      <selection activeCell="G13" sqref="G13"/>
      <pageMargins left="0.39370078740157483" right="0.39370078740157483" top="1.1811023622047245" bottom="0.39370078740157483" header="0.59055118110236227" footer="0.31496062992125984"/>
      <pageSetup paperSize="9" scale="50" orientation="landscape" r:id="rId2"/>
      <headerFooter>
        <oddHeader>&amp;C&amp;"-,Bold"&amp;14Melle production models
Leigh Bettenay 2021</oddHeader>
        <oddFooter>&amp;RPrinted:&amp;T&amp;D</oddFooter>
      </headerFooter>
    </customSheetView>
  </customSheetViews>
  <dataValidations count="1">
    <dataValidation type="custom" allowBlank="1" showInputMessage="1" showErrorMessage="1" error="Please enter a valid number" sqref="D8:D19 D4:D7" xr:uid="{8C07D951-7E28-4955-BB03-01A3C4B806DE}">
      <formula1>ISNUMBER(D4)</formula1>
    </dataValidation>
  </dataValidations>
  <pageMargins left="0.39370078740157483" right="0.39370078740157483" top="1.1811023622047245" bottom="0.39370078740157483" header="0.59055118110236227" footer="0.31496062992125984"/>
  <pageSetup paperSize="9" scale="49" orientation="landscape" r:id="rId3"/>
  <headerFooter>
    <oddHeader>&amp;C&amp;"-,Bold"&amp;14Melle production models
Leigh Bettenay 2022</oddHeader>
    <oddFooter>&amp;RPrinted:&amp;T&amp;D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B1:L43"/>
  <sheetViews>
    <sheetView zoomScale="90" zoomScaleNormal="90" workbookViewId="0">
      <selection activeCell="G43" sqref="G43"/>
    </sheetView>
  </sheetViews>
  <sheetFormatPr defaultColWidth="8.85546875" defaultRowHeight="15" x14ac:dyDescent="0.25"/>
  <cols>
    <col min="1" max="1" width="1.7109375" customWidth="1"/>
    <col min="2" max="2" width="75.7109375" customWidth="1"/>
    <col min="3" max="3" width="1.140625" customWidth="1"/>
    <col min="4" max="4" width="11.28515625" customWidth="1"/>
    <col min="5" max="5" width="1.140625" customWidth="1"/>
    <col min="6" max="6" width="13.28515625" customWidth="1"/>
    <col min="7" max="7" width="174.7109375" customWidth="1"/>
    <col min="8" max="8" width="16" customWidth="1"/>
    <col min="10" max="10" width="16.85546875" bestFit="1" customWidth="1"/>
    <col min="11" max="11" width="14.28515625" bestFit="1" customWidth="1"/>
    <col min="12" max="12" width="38.7109375" style="1" customWidth="1"/>
    <col min="13" max="13" width="12" bestFit="1" customWidth="1"/>
  </cols>
  <sheetData>
    <row r="1" spans="2:8" ht="5.25" customHeight="1" thickBot="1" x14ac:dyDescent="0.3"/>
    <row r="2" spans="2:8" ht="15.75" thickTop="1" x14ac:dyDescent="0.25">
      <c r="B2" s="89" t="s">
        <v>110</v>
      </c>
      <c r="C2" s="262"/>
      <c r="D2" s="263" t="s">
        <v>106</v>
      </c>
      <c r="E2" s="262"/>
      <c r="F2" s="263" t="s">
        <v>45</v>
      </c>
      <c r="G2" s="20" t="s">
        <v>139</v>
      </c>
    </row>
    <row r="3" spans="2:8" ht="15" customHeight="1" x14ac:dyDescent="0.25">
      <c r="B3" s="7" t="s">
        <v>11</v>
      </c>
      <c r="C3" s="264"/>
      <c r="D3" s="264"/>
      <c r="E3" s="264"/>
      <c r="F3" s="264"/>
      <c r="G3" s="3"/>
    </row>
    <row r="4" spans="2:8" ht="15" customHeight="1" x14ac:dyDescent="0.25">
      <c r="B4" s="2" t="s">
        <v>31</v>
      </c>
      <c r="C4" s="264"/>
      <c r="D4" s="265">
        <v>100</v>
      </c>
      <c r="E4" s="264"/>
      <c r="F4" s="264"/>
      <c r="G4" s="3" t="s">
        <v>93</v>
      </c>
    </row>
    <row r="5" spans="2:8" ht="15" customHeight="1" x14ac:dyDescent="0.25">
      <c r="B5" s="2" t="s">
        <v>13</v>
      </c>
      <c r="C5" s="264"/>
      <c r="D5" s="265">
        <v>150</v>
      </c>
      <c r="E5" s="264"/>
      <c r="F5" s="266" t="s">
        <v>3</v>
      </c>
      <c r="G5" s="3" t="s">
        <v>87</v>
      </c>
    </row>
    <row r="6" spans="2:8" ht="15" customHeight="1" x14ac:dyDescent="0.25">
      <c r="B6" s="2" t="s">
        <v>14</v>
      </c>
      <c r="C6" s="264"/>
      <c r="D6" s="265">
        <v>300</v>
      </c>
      <c r="E6" s="264"/>
      <c r="F6" s="266" t="s">
        <v>33</v>
      </c>
      <c r="G6" s="3" t="s">
        <v>86</v>
      </c>
    </row>
    <row r="7" spans="2:8" ht="15" customHeight="1" x14ac:dyDescent="0.25">
      <c r="B7" s="2" t="s">
        <v>38</v>
      </c>
      <c r="C7" s="264"/>
      <c r="D7" s="265">
        <v>50</v>
      </c>
      <c r="E7" s="264"/>
      <c r="F7" s="266" t="s">
        <v>1</v>
      </c>
      <c r="G7" s="3" t="s">
        <v>88</v>
      </c>
    </row>
    <row r="8" spans="2:8" ht="15" customHeight="1" x14ac:dyDescent="0.25">
      <c r="B8" s="2" t="s">
        <v>44</v>
      </c>
      <c r="C8" s="264"/>
      <c r="D8" s="267">
        <v>6</v>
      </c>
      <c r="E8" s="264"/>
      <c r="F8" s="266" t="s">
        <v>1</v>
      </c>
      <c r="G8" s="27" t="s">
        <v>124</v>
      </c>
    </row>
    <row r="9" spans="2:8" ht="15" customHeight="1" x14ac:dyDescent="0.25">
      <c r="B9" s="2" t="s">
        <v>22</v>
      </c>
      <c r="C9" s="264"/>
      <c r="D9" s="265">
        <v>530</v>
      </c>
      <c r="E9" s="264"/>
      <c r="F9" s="266"/>
      <c r="G9" s="3" t="s">
        <v>97</v>
      </c>
    </row>
    <row r="10" spans="2:8" ht="15" customHeight="1" x14ac:dyDescent="0.25">
      <c r="B10" s="2" t="s">
        <v>15</v>
      </c>
      <c r="C10" s="264"/>
      <c r="D10" s="265">
        <v>25</v>
      </c>
      <c r="E10" s="264"/>
      <c r="F10" s="266" t="s">
        <v>1</v>
      </c>
      <c r="G10" s="3" t="s">
        <v>128</v>
      </c>
    </row>
    <row r="11" spans="2:8" ht="15" customHeight="1" x14ac:dyDescent="0.25">
      <c r="B11" s="2" t="s">
        <v>16</v>
      </c>
      <c r="C11" s="264"/>
      <c r="D11" s="265">
        <v>30</v>
      </c>
      <c r="E11" s="264"/>
      <c r="F11" s="266" t="s">
        <v>1</v>
      </c>
      <c r="G11" s="3" t="s">
        <v>81</v>
      </c>
    </row>
    <row r="12" spans="2:8" ht="15" customHeight="1" x14ac:dyDescent="0.25">
      <c r="B12" s="2" t="s">
        <v>17</v>
      </c>
      <c r="C12" s="264"/>
      <c r="D12" s="265">
        <v>15</v>
      </c>
      <c r="E12" s="264"/>
      <c r="F12" s="266" t="s">
        <v>1</v>
      </c>
      <c r="G12" s="27" t="s">
        <v>82</v>
      </c>
      <c r="H12" s="6"/>
    </row>
    <row r="13" spans="2:8" ht="15" customHeight="1" x14ac:dyDescent="0.25">
      <c r="B13" s="2" t="s">
        <v>64</v>
      </c>
      <c r="C13" s="264"/>
      <c r="D13" s="267">
        <v>5</v>
      </c>
      <c r="E13" s="264"/>
      <c r="F13" s="266" t="s">
        <v>1</v>
      </c>
      <c r="G13" s="3" t="s">
        <v>90</v>
      </c>
    </row>
    <row r="14" spans="2:8" ht="15" customHeight="1" x14ac:dyDescent="0.25">
      <c r="B14" s="2" t="s">
        <v>18</v>
      </c>
      <c r="C14" s="264"/>
      <c r="D14" s="267">
        <v>2</v>
      </c>
      <c r="E14" s="264"/>
      <c r="F14" s="266" t="s">
        <v>1</v>
      </c>
      <c r="G14" s="3" t="s">
        <v>43</v>
      </c>
    </row>
    <row r="15" spans="2:8" ht="6" customHeight="1" x14ac:dyDescent="0.25">
      <c r="B15" s="2"/>
      <c r="C15" s="264"/>
      <c r="D15" s="268"/>
      <c r="E15" s="264"/>
      <c r="F15" s="264"/>
      <c r="G15" s="3"/>
    </row>
    <row r="16" spans="2:8" ht="15" customHeight="1" x14ac:dyDescent="0.25">
      <c r="B16" s="7" t="s">
        <v>12</v>
      </c>
      <c r="C16" s="264"/>
      <c r="D16" s="268"/>
      <c r="E16" s="264"/>
      <c r="F16" s="269"/>
      <c r="G16" s="3"/>
    </row>
    <row r="17" spans="2:8" ht="15" customHeight="1" x14ac:dyDescent="0.25">
      <c r="B17" s="2" t="s">
        <v>68</v>
      </c>
      <c r="C17" s="264"/>
      <c r="D17" s="266">
        <f>ROUND(D8*86.3/100,2)</f>
        <v>5.18</v>
      </c>
      <c r="E17" s="270"/>
      <c r="F17" s="266" t="s">
        <v>1</v>
      </c>
      <c r="G17" s="3" t="s">
        <v>130</v>
      </c>
      <c r="H17" s="6"/>
    </row>
    <row r="18" spans="2:8" ht="15" customHeight="1" x14ac:dyDescent="0.25">
      <c r="B18" s="2" t="s">
        <v>118</v>
      </c>
      <c r="C18" s="264"/>
      <c r="D18" s="266">
        <f>ROUND(D17/D9,3)</f>
        <v>0.01</v>
      </c>
      <c r="E18" s="264"/>
      <c r="F18" s="266" t="s">
        <v>1</v>
      </c>
      <c r="G18" s="3"/>
      <c r="H18" s="6"/>
    </row>
    <row r="19" spans="2:8" ht="15" customHeight="1" x14ac:dyDescent="0.25">
      <c r="B19" s="2" t="s">
        <v>119</v>
      </c>
      <c r="C19" s="264"/>
      <c r="D19" s="266">
        <f>ROUND(D18*10000/(31.104),2)</f>
        <v>3.22</v>
      </c>
      <c r="E19" s="264"/>
      <c r="F19" s="266" t="s">
        <v>2</v>
      </c>
      <c r="G19" s="3" t="s">
        <v>116</v>
      </c>
    </row>
    <row r="20" spans="2:8" ht="15" customHeight="1" x14ac:dyDescent="0.25">
      <c r="B20" s="2" t="s">
        <v>5</v>
      </c>
      <c r="C20" s="264"/>
      <c r="D20" s="266">
        <f>D5*D7/100</f>
        <v>75</v>
      </c>
      <c r="E20" s="264"/>
      <c r="F20" s="266" t="s">
        <v>34</v>
      </c>
      <c r="G20" s="3"/>
    </row>
    <row r="21" spans="2:8" ht="15" customHeight="1" x14ac:dyDescent="0.25">
      <c r="B21" s="2" t="s">
        <v>8</v>
      </c>
      <c r="C21" s="264"/>
      <c r="D21" s="266">
        <f>D5*D6/1000</f>
        <v>45</v>
      </c>
      <c r="E21" s="264"/>
      <c r="F21" s="266" t="s">
        <v>65</v>
      </c>
      <c r="G21" s="3"/>
    </row>
    <row r="22" spans="2:8" ht="15" customHeight="1" x14ac:dyDescent="0.25">
      <c r="B22" s="2" t="s">
        <v>74</v>
      </c>
      <c r="C22" s="264"/>
      <c r="D22" s="266">
        <f>D7/100*D21</f>
        <v>22.5</v>
      </c>
      <c r="E22" s="264"/>
      <c r="F22" s="266" t="s">
        <v>65</v>
      </c>
      <c r="G22" s="3"/>
    </row>
    <row r="23" spans="2:8" ht="15" customHeight="1" x14ac:dyDescent="0.25">
      <c r="B23" s="8" t="s">
        <v>4</v>
      </c>
      <c r="C23" s="264"/>
      <c r="D23" s="271">
        <f>D21*D4</f>
        <v>4500</v>
      </c>
      <c r="E23" s="264"/>
      <c r="F23" s="266" t="s">
        <v>65</v>
      </c>
      <c r="G23" s="3"/>
    </row>
    <row r="24" spans="2:8" ht="15" customHeight="1" x14ac:dyDescent="0.25">
      <c r="B24" s="7" t="s">
        <v>0</v>
      </c>
      <c r="C24" s="264"/>
      <c r="D24" s="272">
        <f>D22*D4</f>
        <v>2250</v>
      </c>
      <c r="E24" s="264"/>
      <c r="F24" s="266" t="s">
        <v>65</v>
      </c>
      <c r="G24" s="3"/>
    </row>
    <row r="25" spans="2:8" ht="15" customHeight="1" x14ac:dyDescent="0.25">
      <c r="B25" s="2" t="s">
        <v>7</v>
      </c>
      <c r="C25" s="264"/>
      <c r="D25" s="266">
        <f>D24*D17/100</f>
        <v>116.55</v>
      </c>
      <c r="E25" s="264"/>
      <c r="F25" s="266" t="s">
        <v>65</v>
      </c>
      <c r="G25" s="3" t="s">
        <v>70</v>
      </c>
    </row>
    <row r="26" spans="2:8" ht="15" customHeight="1" x14ac:dyDescent="0.25">
      <c r="B26" s="2" t="s">
        <v>63</v>
      </c>
      <c r="C26" s="264"/>
      <c r="D26" s="266">
        <f>D25/D9</f>
        <v>0.21990566037735848</v>
      </c>
      <c r="E26" s="264"/>
      <c r="F26" s="266" t="s">
        <v>65</v>
      </c>
      <c r="G26" s="3" t="s">
        <v>70</v>
      </c>
    </row>
    <row r="27" spans="2:8" ht="15" customHeight="1" x14ac:dyDescent="0.25">
      <c r="B27" s="2" t="s">
        <v>35</v>
      </c>
      <c r="C27" s="264"/>
      <c r="D27" s="273">
        <f>D25*(100-D10)/100</f>
        <v>87.412499999999994</v>
      </c>
      <c r="E27" s="264"/>
      <c r="F27" s="266" t="s">
        <v>65</v>
      </c>
      <c r="G27" s="3" t="s">
        <v>71</v>
      </c>
    </row>
    <row r="28" spans="2:8" ht="15" customHeight="1" x14ac:dyDescent="0.25">
      <c r="B28" s="2" t="s">
        <v>36</v>
      </c>
      <c r="C28" s="264"/>
      <c r="D28" s="266">
        <f>D26*(100-D10)/100</f>
        <v>0.16492924528301883</v>
      </c>
      <c r="E28" s="264"/>
      <c r="F28" s="266" t="s">
        <v>65</v>
      </c>
      <c r="G28" s="3" t="s">
        <v>72</v>
      </c>
    </row>
    <row r="29" spans="2:8" ht="6" customHeight="1" x14ac:dyDescent="0.25">
      <c r="B29" s="2"/>
      <c r="C29" s="264"/>
      <c r="D29" s="274"/>
      <c r="E29" s="264"/>
      <c r="F29" s="266"/>
      <c r="G29" s="3"/>
    </row>
    <row r="30" spans="2:8" x14ac:dyDescent="0.25">
      <c r="B30" s="2" t="s">
        <v>26</v>
      </c>
      <c r="C30" s="264"/>
      <c r="D30" s="266">
        <f>D27*(100-D11)/100</f>
        <v>61.188749999999999</v>
      </c>
      <c r="E30" s="264"/>
      <c r="F30" s="266" t="s">
        <v>65</v>
      </c>
      <c r="G30" s="3"/>
    </row>
    <row r="31" spans="2:8" x14ac:dyDescent="0.25">
      <c r="B31" s="2" t="s">
        <v>27</v>
      </c>
      <c r="C31" s="264"/>
      <c r="D31" s="266">
        <f>D28*(100-D13)/100</f>
        <v>0.15668278301886787</v>
      </c>
      <c r="E31" s="264"/>
      <c r="F31" s="266" t="s">
        <v>65</v>
      </c>
      <c r="G31" s="3"/>
    </row>
    <row r="32" spans="2:8" ht="6" customHeight="1" x14ac:dyDescent="0.25">
      <c r="B32" s="2"/>
      <c r="C32" s="264"/>
      <c r="D32" s="274"/>
      <c r="E32" s="264"/>
      <c r="F32" s="264"/>
      <c r="G32" s="3"/>
    </row>
    <row r="33" spans="2:7" x14ac:dyDescent="0.25">
      <c r="B33" s="2" t="s">
        <v>47</v>
      </c>
      <c r="C33" s="264"/>
      <c r="D33" s="266">
        <f>D31*100/D30</f>
        <v>0.25606469002695409</v>
      </c>
      <c r="E33" s="264"/>
      <c r="F33" s="266" t="s">
        <v>1</v>
      </c>
      <c r="G33" s="3"/>
    </row>
    <row r="34" spans="2:7" x14ac:dyDescent="0.25">
      <c r="B34" s="2" t="s">
        <v>48</v>
      </c>
      <c r="C34" s="264"/>
      <c r="D34" s="275">
        <f>ROUND(D33*1000/31.104,1)</f>
        <v>8.1999999999999993</v>
      </c>
      <c r="E34" s="264"/>
      <c r="F34" s="266" t="s">
        <v>2</v>
      </c>
      <c r="G34" s="3"/>
    </row>
    <row r="35" spans="2:7" ht="6" customHeight="1" x14ac:dyDescent="0.25">
      <c r="B35" s="2"/>
      <c r="C35" s="264"/>
      <c r="D35" s="268"/>
      <c r="E35" s="264"/>
      <c r="F35" s="266"/>
      <c r="G35" s="3"/>
    </row>
    <row r="36" spans="2:7" ht="15" customHeight="1" x14ac:dyDescent="0.25">
      <c r="B36" s="2" t="s">
        <v>39</v>
      </c>
      <c r="C36" s="264"/>
      <c r="D36" s="275">
        <f>D30*(100-D12)/100</f>
        <v>52.010437499999995</v>
      </c>
      <c r="E36" s="264"/>
      <c r="F36" s="266" t="s">
        <v>65</v>
      </c>
      <c r="G36" s="3"/>
    </row>
    <row r="37" spans="2:7" ht="15" customHeight="1" x14ac:dyDescent="0.25">
      <c r="B37" s="2" t="s">
        <v>30</v>
      </c>
      <c r="C37" s="264"/>
      <c r="D37" s="276">
        <f>D31*(100-D14)/100</f>
        <v>0.15354912735849052</v>
      </c>
      <c r="E37" s="264"/>
      <c r="F37" s="266" t="s">
        <v>65</v>
      </c>
      <c r="G37" s="3"/>
    </row>
    <row r="38" spans="2:7" ht="15" customHeight="1" x14ac:dyDescent="0.25">
      <c r="B38" s="2" t="s">
        <v>9</v>
      </c>
      <c r="C38" s="264"/>
      <c r="D38" s="275">
        <f>100*(D25-D36)/D25</f>
        <v>55.375</v>
      </c>
      <c r="E38" s="264"/>
      <c r="F38" s="266" t="s">
        <v>1</v>
      </c>
      <c r="G38" s="3"/>
    </row>
    <row r="39" spans="2:7" ht="15" customHeight="1" x14ac:dyDescent="0.25">
      <c r="B39" s="2" t="s">
        <v>10</v>
      </c>
      <c r="C39" s="264"/>
      <c r="D39" s="275">
        <f>100*(D26-D37)/D26</f>
        <v>30.175000000000018</v>
      </c>
      <c r="E39" s="264"/>
      <c r="F39" s="266" t="s">
        <v>1</v>
      </c>
      <c r="G39" s="3"/>
    </row>
    <row r="40" spans="2:7" ht="15" customHeight="1" x14ac:dyDescent="0.25">
      <c r="B40" s="2" t="s">
        <v>6</v>
      </c>
      <c r="C40" s="264"/>
      <c r="D40" s="277">
        <f>ROUND(D36/D37,0)</f>
        <v>339</v>
      </c>
      <c r="E40" s="264"/>
      <c r="F40" s="266"/>
      <c r="G40" s="3" t="s">
        <v>73</v>
      </c>
    </row>
    <row r="41" spans="2:7" ht="15" customHeight="1" x14ac:dyDescent="0.25">
      <c r="B41" s="2" t="s">
        <v>46</v>
      </c>
      <c r="C41" s="264"/>
      <c r="D41" s="278">
        <f>ROUND(D37*1000/D4,1)</f>
        <v>1.5</v>
      </c>
      <c r="E41" s="264"/>
      <c r="F41" s="266" t="s">
        <v>66</v>
      </c>
      <c r="G41" s="3" t="s">
        <v>140</v>
      </c>
    </row>
    <row r="42" spans="2:7" ht="15" customHeight="1" thickBot="1" x14ac:dyDescent="0.3">
      <c r="B42" s="4" t="s">
        <v>67</v>
      </c>
      <c r="C42" s="279"/>
      <c r="D42" s="280">
        <f>ROUND(0.5*D41,2)</f>
        <v>0.75</v>
      </c>
      <c r="E42" s="279"/>
      <c r="F42" s="281" t="s">
        <v>66</v>
      </c>
      <c r="G42" s="5" t="s">
        <v>141</v>
      </c>
    </row>
    <row r="43" spans="2:7" ht="15.75" thickTop="1" x14ac:dyDescent="0.25"/>
  </sheetData>
  <sheetProtection algorithmName="SHA-512" hashValue="OXe4IQsDjlQ4ld1QoAWF8k17XZj17k0L46VAu8JJAqEwSFKyoZt+spSMn8SuDR6rOUF6egxh6nBT/igjjLUqow==" saltValue="8R+0sLIHdTNyY5ireNFi6Q==" spinCount="100000" sheet="1" objects="1" scenarios="1"/>
  <customSheetViews>
    <customSheetView guid="{E2772306-AE06-43A8-AC22-D91D9C3C7EF8}" scale="75" fitToPage="1">
      <selection activeCell="A36" sqref="A36:XFD36"/>
      <pageMargins left="0.39370078740157483" right="0.39370078740157483" top="1.1811023622047245" bottom="0.39370078740157483" header="0.59055118110236227" footer="0.31496062992125984"/>
      <pageSetup paperSize="9" scale="51" orientation="landscape" r:id="rId1"/>
      <headerFooter>
        <oddHeader>&amp;C&amp;"-,Bold"&amp;14Melle production models
Leigh Bettenay 2021</oddHeader>
        <oddFooter>&amp;RPrinted:&amp;T&amp;D</oddFooter>
      </headerFooter>
    </customSheetView>
    <customSheetView guid="{238C921E-9284-4CD0-9CF6-84DD5C0E8B33}" scale="75" fitToPage="1">
      <selection activeCell="G21" sqref="G21"/>
      <pageMargins left="0.39370078740157483" right="0.39370078740157483" top="1.1811023622047245" bottom="0.39370078740157483" header="0.59055118110236227" footer="0.31496062992125984"/>
      <pageSetup paperSize="9" scale="51" orientation="landscape" r:id="rId2"/>
      <headerFooter>
        <oddHeader>&amp;C&amp;"-,Bold"&amp;14Melle production models
Leigh Bettenay 2021</oddHeader>
        <oddFooter>&amp;RPrinted:&amp;T&amp;D</oddFooter>
      </headerFooter>
    </customSheetView>
  </customSheetViews>
  <pageMargins left="0.39370078740157483" right="0.39370078740157483" top="1.1811023622047245" bottom="0.39370078740157483" header="0.59055118110236227" footer="0.31496062992125984"/>
  <pageSetup paperSize="9" scale="49" orientation="landscape" r:id="rId3"/>
  <headerFooter>
    <oddHeader>&amp;C&amp;"-,Bold"&amp;14Melle production models
Leigh Bettenay 2022</oddHeader>
    <oddFooter>&amp;RPrinted:&amp;T&amp;D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B1:L43"/>
  <sheetViews>
    <sheetView zoomScale="90" zoomScaleNormal="90" workbookViewId="0">
      <selection activeCell="B44" sqref="B44"/>
    </sheetView>
  </sheetViews>
  <sheetFormatPr defaultColWidth="8.85546875" defaultRowHeight="15" x14ac:dyDescent="0.25"/>
  <cols>
    <col min="1" max="1" width="1.7109375" customWidth="1"/>
    <col min="2" max="2" width="75.7109375" customWidth="1"/>
    <col min="3" max="3" width="1.140625" customWidth="1"/>
    <col min="4" max="4" width="11.28515625" customWidth="1"/>
    <col min="5" max="5" width="1.140625" customWidth="1"/>
    <col min="6" max="6" width="13.28515625" customWidth="1"/>
    <col min="7" max="7" width="174.7109375" customWidth="1"/>
    <col min="8" max="8" width="16" customWidth="1"/>
    <col min="10" max="10" width="16.85546875" bestFit="1" customWidth="1"/>
    <col min="11" max="11" width="14.28515625" bestFit="1" customWidth="1"/>
    <col min="12" max="12" width="38.7109375" style="1" customWidth="1"/>
    <col min="13" max="13" width="12" bestFit="1" customWidth="1"/>
  </cols>
  <sheetData>
    <row r="1" spans="2:8" ht="5.25" customHeight="1" thickBot="1" x14ac:dyDescent="0.3"/>
    <row r="2" spans="2:8" ht="15.75" thickTop="1" x14ac:dyDescent="0.25">
      <c r="B2" s="90" t="s">
        <v>111</v>
      </c>
      <c r="C2" s="262"/>
      <c r="D2" s="282" t="s">
        <v>107</v>
      </c>
      <c r="E2" s="262"/>
      <c r="F2" s="282" t="s">
        <v>45</v>
      </c>
      <c r="G2" s="20" t="s">
        <v>139</v>
      </c>
    </row>
    <row r="3" spans="2:8" ht="15" customHeight="1" x14ac:dyDescent="0.25">
      <c r="B3" s="7" t="s">
        <v>11</v>
      </c>
      <c r="C3" s="264"/>
      <c r="D3" s="264"/>
      <c r="E3" s="264"/>
      <c r="F3" s="264"/>
      <c r="G3" s="3"/>
    </row>
    <row r="4" spans="2:8" ht="15" customHeight="1" x14ac:dyDescent="0.25">
      <c r="B4" s="2" t="s">
        <v>31</v>
      </c>
      <c r="C4" s="264"/>
      <c r="D4" s="265">
        <v>200</v>
      </c>
      <c r="E4" s="264"/>
      <c r="F4" s="264"/>
      <c r="G4" s="3" t="s">
        <v>93</v>
      </c>
    </row>
    <row r="5" spans="2:8" ht="15" customHeight="1" x14ac:dyDescent="0.25">
      <c r="B5" s="2" t="s">
        <v>13</v>
      </c>
      <c r="C5" s="264"/>
      <c r="D5" s="265">
        <v>250</v>
      </c>
      <c r="E5" s="264"/>
      <c r="F5" s="266" t="s">
        <v>3</v>
      </c>
      <c r="G5" s="3" t="s">
        <v>91</v>
      </c>
    </row>
    <row r="6" spans="2:8" ht="15" customHeight="1" x14ac:dyDescent="0.25">
      <c r="B6" s="2" t="s">
        <v>14</v>
      </c>
      <c r="C6" s="264"/>
      <c r="D6" s="265">
        <v>300</v>
      </c>
      <c r="E6" s="264"/>
      <c r="F6" s="266" t="s">
        <v>33</v>
      </c>
      <c r="G6" s="3" t="s">
        <v>92</v>
      </c>
    </row>
    <row r="7" spans="2:8" ht="15" customHeight="1" x14ac:dyDescent="0.25">
      <c r="B7" s="2" t="s">
        <v>38</v>
      </c>
      <c r="C7" s="264"/>
      <c r="D7" s="265">
        <v>60</v>
      </c>
      <c r="E7" s="264"/>
      <c r="F7" s="266" t="s">
        <v>1</v>
      </c>
      <c r="G7" s="3" t="s">
        <v>94</v>
      </c>
    </row>
    <row r="8" spans="2:8" ht="15" customHeight="1" x14ac:dyDescent="0.25">
      <c r="B8" s="2" t="s">
        <v>44</v>
      </c>
      <c r="C8" s="264"/>
      <c r="D8" s="267">
        <v>10</v>
      </c>
      <c r="E8" s="264"/>
      <c r="F8" s="266" t="s">
        <v>1</v>
      </c>
      <c r="G8" s="3" t="s">
        <v>126</v>
      </c>
    </row>
    <row r="9" spans="2:8" ht="15" customHeight="1" x14ac:dyDescent="0.25">
      <c r="B9" s="2" t="s">
        <v>22</v>
      </c>
      <c r="C9" s="264"/>
      <c r="D9" s="265">
        <v>450</v>
      </c>
      <c r="E9" s="264"/>
      <c r="F9" s="266"/>
      <c r="G9" s="3" t="s">
        <v>95</v>
      </c>
    </row>
    <row r="10" spans="2:8" ht="15" customHeight="1" x14ac:dyDescent="0.25">
      <c r="B10" s="2" t="s">
        <v>15</v>
      </c>
      <c r="C10" s="264"/>
      <c r="D10" s="265">
        <v>20</v>
      </c>
      <c r="E10" s="264"/>
      <c r="F10" s="266" t="s">
        <v>1</v>
      </c>
      <c r="G10" s="3" t="s">
        <v>96</v>
      </c>
    </row>
    <row r="11" spans="2:8" ht="15" customHeight="1" x14ac:dyDescent="0.25">
      <c r="B11" s="2" t="s">
        <v>16</v>
      </c>
      <c r="C11" s="264"/>
      <c r="D11" s="265">
        <v>20</v>
      </c>
      <c r="E11" s="264"/>
      <c r="F11" s="266" t="s">
        <v>1</v>
      </c>
      <c r="G11" s="3" t="s">
        <v>81</v>
      </c>
    </row>
    <row r="12" spans="2:8" ht="15" customHeight="1" x14ac:dyDescent="0.25">
      <c r="B12" s="2" t="s">
        <v>17</v>
      </c>
      <c r="C12" s="264"/>
      <c r="D12" s="265">
        <v>15</v>
      </c>
      <c r="E12" s="264"/>
      <c r="F12" s="266" t="s">
        <v>1</v>
      </c>
      <c r="G12" s="27" t="s">
        <v>82</v>
      </c>
      <c r="H12" s="6"/>
    </row>
    <row r="13" spans="2:8" ht="15" customHeight="1" x14ac:dyDescent="0.25">
      <c r="B13" s="2" t="s">
        <v>64</v>
      </c>
      <c r="C13" s="264"/>
      <c r="D13" s="267">
        <v>2</v>
      </c>
      <c r="E13" s="264"/>
      <c r="F13" s="266" t="s">
        <v>1</v>
      </c>
      <c r="G13" s="3" t="s">
        <v>90</v>
      </c>
    </row>
    <row r="14" spans="2:8" ht="15" customHeight="1" x14ac:dyDescent="0.25">
      <c r="B14" s="2" t="s">
        <v>18</v>
      </c>
      <c r="C14" s="264"/>
      <c r="D14" s="267">
        <v>1</v>
      </c>
      <c r="E14" s="264"/>
      <c r="F14" s="266" t="s">
        <v>1</v>
      </c>
      <c r="G14" s="3" t="s">
        <v>40</v>
      </c>
    </row>
    <row r="15" spans="2:8" ht="6" customHeight="1" x14ac:dyDescent="0.25">
      <c r="B15" s="2"/>
      <c r="C15" s="264"/>
      <c r="D15" s="268"/>
      <c r="E15" s="264"/>
      <c r="F15" s="264"/>
      <c r="G15" s="3"/>
    </row>
    <row r="16" spans="2:8" ht="15" customHeight="1" x14ac:dyDescent="0.25">
      <c r="B16" s="7" t="s">
        <v>12</v>
      </c>
      <c r="C16" s="264"/>
      <c r="D16" s="268"/>
      <c r="E16" s="264"/>
      <c r="F16" s="269"/>
      <c r="G16" s="3"/>
    </row>
    <row r="17" spans="2:8" ht="15" customHeight="1" x14ac:dyDescent="0.25">
      <c r="B17" s="2" t="s">
        <v>68</v>
      </c>
      <c r="C17" s="264"/>
      <c r="D17" s="266">
        <f>ROUND(D8*86.3/100,2)</f>
        <v>8.6300000000000008</v>
      </c>
      <c r="E17" s="270"/>
      <c r="F17" s="266" t="s">
        <v>1</v>
      </c>
      <c r="G17" s="3" t="s">
        <v>129</v>
      </c>
      <c r="H17" s="6"/>
    </row>
    <row r="18" spans="2:8" ht="15" customHeight="1" x14ac:dyDescent="0.25">
      <c r="B18" s="2" t="s">
        <v>118</v>
      </c>
      <c r="C18" s="264"/>
      <c r="D18" s="266">
        <f>ROUND(D17/D9,3)</f>
        <v>1.9E-2</v>
      </c>
      <c r="E18" s="264"/>
      <c r="F18" s="266" t="s">
        <v>1</v>
      </c>
      <c r="G18" s="3"/>
      <c r="H18" s="6"/>
    </row>
    <row r="19" spans="2:8" ht="15" customHeight="1" x14ac:dyDescent="0.25">
      <c r="B19" s="2" t="s">
        <v>119</v>
      </c>
      <c r="C19" s="264"/>
      <c r="D19" s="266">
        <f>ROUND(D18*10000/(31.104),2)</f>
        <v>6.11</v>
      </c>
      <c r="E19" s="264"/>
      <c r="F19" s="266" t="s">
        <v>2</v>
      </c>
      <c r="G19" s="3" t="s">
        <v>116</v>
      </c>
    </row>
    <row r="20" spans="2:8" ht="15" customHeight="1" x14ac:dyDescent="0.25">
      <c r="B20" s="2" t="s">
        <v>5</v>
      </c>
      <c r="C20" s="264"/>
      <c r="D20" s="266">
        <f>D5*D7/100</f>
        <v>150</v>
      </c>
      <c r="E20" s="264"/>
      <c r="F20" s="266" t="s">
        <v>34</v>
      </c>
      <c r="G20" s="3"/>
    </row>
    <row r="21" spans="2:8" ht="15" customHeight="1" x14ac:dyDescent="0.25">
      <c r="B21" s="2" t="s">
        <v>8</v>
      </c>
      <c r="C21" s="264"/>
      <c r="D21" s="266">
        <f>D5*D6/1000</f>
        <v>75</v>
      </c>
      <c r="E21" s="264"/>
      <c r="F21" s="266" t="s">
        <v>65</v>
      </c>
      <c r="G21" s="3"/>
    </row>
    <row r="22" spans="2:8" ht="15" customHeight="1" x14ac:dyDescent="0.25">
      <c r="B22" s="2" t="s">
        <v>74</v>
      </c>
      <c r="C22" s="264"/>
      <c r="D22" s="266">
        <f>D7/100*D21</f>
        <v>45</v>
      </c>
      <c r="E22" s="264"/>
      <c r="F22" s="266" t="s">
        <v>65</v>
      </c>
      <c r="G22" s="3"/>
    </row>
    <row r="23" spans="2:8" ht="15" customHeight="1" x14ac:dyDescent="0.25">
      <c r="B23" s="8" t="s">
        <v>4</v>
      </c>
      <c r="C23" s="264"/>
      <c r="D23" s="271">
        <f>D21*D4</f>
        <v>15000</v>
      </c>
      <c r="E23" s="264"/>
      <c r="F23" s="266" t="s">
        <v>65</v>
      </c>
      <c r="G23" s="3"/>
    </row>
    <row r="24" spans="2:8" ht="15" customHeight="1" x14ac:dyDescent="0.25">
      <c r="B24" s="7" t="s">
        <v>0</v>
      </c>
      <c r="C24" s="264"/>
      <c r="D24" s="272">
        <f>D22*D4</f>
        <v>9000</v>
      </c>
      <c r="E24" s="264"/>
      <c r="F24" s="266" t="s">
        <v>65</v>
      </c>
      <c r="G24" s="3"/>
    </row>
    <row r="25" spans="2:8" ht="15" customHeight="1" x14ac:dyDescent="0.25">
      <c r="B25" s="2" t="s">
        <v>7</v>
      </c>
      <c r="C25" s="264"/>
      <c r="D25" s="266">
        <f>D24*D17/100</f>
        <v>776.7</v>
      </c>
      <c r="E25" s="264"/>
      <c r="F25" s="266" t="s">
        <v>65</v>
      </c>
      <c r="G25" s="3" t="s">
        <v>70</v>
      </c>
    </row>
    <row r="26" spans="2:8" ht="15" customHeight="1" x14ac:dyDescent="0.25">
      <c r="B26" s="2" t="s">
        <v>63</v>
      </c>
      <c r="C26" s="264"/>
      <c r="D26" s="266">
        <f>D25/D9</f>
        <v>1.7260000000000002</v>
      </c>
      <c r="E26" s="264"/>
      <c r="F26" s="266" t="s">
        <v>65</v>
      </c>
      <c r="G26" s="3" t="s">
        <v>70</v>
      </c>
    </row>
    <row r="27" spans="2:8" ht="15" customHeight="1" x14ac:dyDescent="0.25">
      <c r="B27" s="2" t="s">
        <v>28</v>
      </c>
      <c r="C27" s="264"/>
      <c r="D27" s="273">
        <f>D25*(100-D10)/100</f>
        <v>621.36</v>
      </c>
      <c r="E27" s="264"/>
      <c r="F27" s="266" t="s">
        <v>65</v>
      </c>
      <c r="G27" s="3" t="s">
        <v>71</v>
      </c>
    </row>
    <row r="28" spans="2:8" ht="15" customHeight="1" x14ac:dyDescent="0.25">
      <c r="B28" s="2" t="s">
        <v>29</v>
      </c>
      <c r="C28" s="264"/>
      <c r="D28" s="266">
        <f>D26*(100-D10)/100</f>
        <v>1.3808</v>
      </c>
      <c r="E28" s="264"/>
      <c r="F28" s="266" t="s">
        <v>65</v>
      </c>
      <c r="G28" s="3" t="s">
        <v>72</v>
      </c>
    </row>
    <row r="29" spans="2:8" ht="6" customHeight="1" x14ac:dyDescent="0.25">
      <c r="B29" s="2"/>
      <c r="C29" s="264"/>
      <c r="D29" s="274"/>
      <c r="E29" s="264"/>
      <c r="F29" s="266"/>
      <c r="G29" s="3"/>
    </row>
    <row r="30" spans="2:8" ht="15" customHeight="1" x14ac:dyDescent="0.25">
      <c r="B30" s="2" t="s">
        <v>26</v>
      </c>
      <c r="C30" s="264"/>
      <c r="D30" s="266">
        <f>D27*(100-D11)/100</f>
        <v>497.08800000000002</v>
      </c>
      <c r="E30" s="264"/>
      <c r="F30" s="266" t="s">
        <v>65</v>
      </c>
      <c r="G30" s="3"/>
    </row>
    <row r="31" spans="2:8" ht="15" customHeight="1" x14ac:dyDescent="0.25">
      <c r="B31" s="2" t="s">
        <v>27</v>
      </c>
      <c r="C31" s="264"/>
      <c r="D31" s="266">
        <f>D28*(100-D13)/100</f>
        <v>1.3531839999999999</v>
      </c>
      <c r="E31" s="264"/>
      <c r="F31" s="266" t="s">
        <v>65</v>
      </c>
      <c r="G31" s="3"/>
    </row>
    <row r="32" spans="2:8" ht="6" customHeight="1" x14ac:dyDescent="0.25">
      <c r="B32" s="2"/>
      <c r="C32" s="264"/>
      <c r="D32" s="274"/>
      <c r="E32" s="264"/>
      <c r="F32" s="264"/>
      <c r="G32" s="3"/>
    </row>
    <row r="33" spans="2:7" ht="15" customHeight="1" x14ac:dyDescent="0.25">
      <c r="B33" s="2" t="s">
        <v>47</v>
      </c>
      <c r="C33" s="264"/>
      <c r="D33" s="266">
        <f>D31*100/D30</f>
        <v>0.2722222222222222</v>
      </c>
      <c r="E33" s="264"/>
      <c r="F33" s="266" t="s">
        <v>1</v>
      </c>
      <c r="G33" s="3"/>
    </row>
    <row r="34" spans="2:7" ht="15" customHeight="1" x14ac:dyDescent="0.25">
      <c r="B34" s="2" t="s">
        <v>48</v>
      </c>
      <c r="C34" s="264"/>
      <c r="D34" s="275">
        <f>ROUND(D33*1000/31.104,1)</f>
        <v>8.8000000000000007</v>
      </c>
      <c r="E34" s="264"/>
      <c r="F34" s="266" t="s">
        <v>69</v>
      </c>
      <c r="G34" s="3"/>
    </row>
    <row r="35" spans="2:7" ht="6" customHeight="1" x14ac:dyDescent="0.25">
      <c r="B35" s="2"/>
      <c r="C35" s="264"/>
      <c r="D35" s="268"/>
      <c r="E35" s="264"/>
      <c r="F35" s="266"/>
      <c r="G35" s="3"/>
    </row>
    <row r="36" spans="2:7" ht="15" customHeight="1" x14ac:dyDescent="0.25">
      <c r="B36" s="2" t="s">
        <v>39</v>
      </c>
      <c r="C36" s="264"/>
      <c r="D36" s="275">
        <f>D30*(100-D12)/100</f>
        <v>422.52480000000003</v>
      </c>
      <c r="E36" s="264"/>
      <c r="F36" s="266" t="s">
        <v>65</v>
      </c>
      <c r="G36" s="3"/>
    </row>
    <row r="37" spans="2:7" ht="15" customHeight="1" x14ac:dyDescent="0.25">
      <c r="B37" s="2" t="s">
        <v>30</v>
      </c>
      <c r="C37" s="264"/>
      <c r="D37" s="276">
        <f>D31*(100-D14)/100</f>
        <v>1.33965216</v>
      </c>
      <c r="E37" s="264"/>
      <c r="F37" s="266" t="s">
        <v>65</v>
      </c>
      <c r="G37" s="3"/>
    </row>
    <row r="38" spans="2:7" ht="15" customHeight="1" x14ac:dyDescent="0.25">
      <c r="B38" s="2" t="s">
        <v>9</v>
      </c>
      <c r="C38" s="264"/>
      <c r="D38" s="275">
        <f>100*(D25-D36)/D25</f>
        <v>45.6</v>
      </c>
      <c r="E38" s="264"/>
      <c r="F38" s="266" t="s">
        <v>1</v>
      </c>
      <c r="G38" s="3"/>
    </row>
    <row r="39" spans="2:7" ht="15" customHeight="1" x14ac:dyDescent="0.25">
      <c r="B39" s="2" t="s">
        <v>10</v>
      </c>
      <c r="C39" s="264"/>
      <c r="D39" s="275">
        <f>100*(D26-D37)/D26</f>
        <v>22.384000000000011</v>
      </c>
      <c r="E39" s="264"/>
      <c r="F39" s="266" t="s">
        <v>1</v>
      </c>
      <c r="G39" s="3"/>
    </row>
    <row r="40" spans="2:7" ht="15" customHeight="1" x14ac:dyDescent="0.25">
      <c r="B40" s="2" t="s">
        <v>6</v>
      </c>
      <c r="C40" s="264"/>
      <c r="D40" s="277">
        <f>ROUND(D36/D37,0)</f>
        <v>315</v>
      </c>
      <c r="E40" s="264"/>
      <c r="F40" s="266"/>
      <c r="G40" s="3" t="s">
        <v>73</v>
      </c>
    </row>
    <row r="41" spans="2:7" ht="15" customHeight="1" x14ac:dyDescent="0.25">
      <c r="B41" s="2" t="s">
        <v>46</v>
      </c>
      <c r="C41" s="264"/>
      <c r="D41" s="278">
        <f>ROUND(D37*1000/D4,1)</f>
        <v>6.7</v>
      </c>
      <c r="E41" s="264"/>
      <c r="F41" s="266" t="s">
        <v>66</v>
      </c>
      <c r="G41" s="3" t="s">
        <v>140</v>
      </c>
    </row>
    <row r="42" spans="2:7" ht="15" customHeight="1" thickBot="1" x14ac:dyDescent="0.3">
      <c r="B42" s="4" t="s">
        <v>67</v>
      </c>
      <c r="C42" s="279"/>
      <c r="D42" s="280">
        <f>ROUND(0.5*D41,2)</f>
        <v>3.35</v>
      </c>
      <c r="E42" s="279"/>
      <c r="F42" s="281" t="s">
        <v>66</v>
      </c>
      <c r="G42" s="5" t="s">
        <v>141</v>
      </c>
    </row>
    <row r="43" spans="2:7" ht="15.75" thickTop="1" x14ac:dyDescent="0.25"/>
  </sheetData>
  <sheetProtection algorithmName="SHA-512" hashValue="ZuP6C3E33SMguK605F+XSvESfd0fAzLJ2kg183NDh4qfC2dvJHZ0BptJR7NEFjrz3NVNLhwrL9XBjCmUYNL6qQ==" saltValue="vShAUgmYO5CIQr2H7hqx9Q==" spinCount="100000" sheet="1" objects="1" scenarios="1"/>
  <customSheetViews>
    <customSheetView guid="{E2772306-AE06-43A8-AC22-D91D9C3C7EF8}" scale="75" fitToPage="1">
      <selection activeCell="A36" sqref="A36:XFD36"/>
      <pageMargins left="0.39370078740157483" right="0.39370078740157483" top="1.1811023622047245" bottom="0.39370078740157483" header="0.59055118110236227" footer="0.31496062992125984"/>
      <pageSetup paperSize="9" scale="51" orientation="landscape" verticalDpi="0" r:id="rId1"/>
      <headerFooter>
        <oddHeader>&amp;C&amp;"-,Bold"&amp;14Melle production models
Leigh Bettenay 2021</oddHeader>
        <oddFooter>&amp;RPrinted:&amp;T&amp;D</oddFooter>
      </headerFooter>
    </customSheetView>
    <customSheetView guid="{238C921E-9284-4CD0-9CF6-84DD5C0E8B33}" scale="75" fitToPage="1">
      <selection activeCell="G8" sqref="G8"/>
      <pageMargins left="0.39370078740157483" right="0.39370078740157483" top="1.1811023622047245" bottom="0.39370078740157483" header="0.59055118110236227" footer="0.31496062992125984"/>
      <pageSetup paperSize="9" scale="51" orientation="landscape" verticalDpi="0" r:id="rId2"/>
      <headerFooter>
        <oddHeader>&amp;C&amp;"-,Bold"&amp;14Melle production models
Leigh Bettenay 2021</oddHeader>
        <oddFooter>&amp;RPrinted:&amp;T&amp;D</oddFooter>
      </headerFooter>
    </customSheetView>
  </customSheetViews>
  <pageMargins left="0.39370078740157483" right="0.39370078740157483" top="1.1811023622047245" bottom="0.39370078740157483" header="0.59055118110236227" footer="0.31496062992125984"/>
  <pageSetup paperSize="9" scale="49" orientation="landscape" r:id="rId3"/>
  <headerFooter>
    <oddHeader>&amp;C&amp;"-,Bold"&amp;14Melle production models
Leigh Bettenay 2022</oddHeader>
    <oddFooter>&amp;RPrinted:&amp;T&amp;D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L43"/>
  <sheetViews>
    <sheetView zoomScale="90" zoomScaleNormal="90" workbookViewId="0">
      <selection activeCell="B45" sqref="B45"/>
    </sheetView>
  </sheetViews>
  <sheetFormatPr defaultColWidth="8.85546875" defaultRowHeight="15" x14ac:dyDescent="0.25"/>
  <cols>
    <col min="1" max="1" width="1.7109375" customWidth="1"/>
    <col min="2" max="2" width="75.7109375" customWidth="1"/>
    <col min="3" max="3" width="1.140625" customWidth="1"/>
    <col min="4" max="4" width="11.28515625" customWidth="1"/>
    <col min="5" max="5" width="1.140625" customWidth="1"/>
    <col min="6" max="6" width="13.28515625" customWidth="1"/>
    <col min="7" max="7" width="174.7109375" customWidth="1"/>
    <col min="8" max="8" width="16" customWidth="1"/>
    <col min="10" max="10" width="16.85546875" bestFit="1" customWidth="1"/>
    <col min="11" max="11" width="14.28515625" bestFit="1" customWidth="1"/>
    <col min="12" max="12" width="38.7109375" style="1" customWidth="1"/>
    <col min="13" max="13" width="12" bestFit="1" customWidth="1"/>
  </cols>
  <sheetData>
    <row r="1" spans="2:8" ht="4.7" customHeight="1" thickBot="1" x14ac:dyDescent="0.3"/>
    <row r="2" spans="2:8" ht="15.75" thickTop="1" x14ac:dyDescent="0.25">
      <c r="B2" s="91" t="s">
        <v>112</v>
      </c>
      <c r="C2" s="216"/>
      <c r="D2" s="283" t="s">
        <v>108</v>
      </c>
      <c r="E2" s="216"/>
      <c r="F2" s="283" t="s">
        <v>45</v>
      </c>
      <c r="G2" s="20" t="s">
        <v>139</v>
      </c>
    </row>
    <row r="3" spans="2:8" ht="15" customHeight="1" x14ac:dyDescent="0.25">
      <c r="B3" s="7" t="s">
        <v>11</v>
      </c>
      <c r="C3" s="264"/>
      <c r="D3" s="264"/>
      <c r="E3" s="264"/>
      <c r="F3" s="264"/>
      <c r="G3" s="3"/>
    </row>
    <row r="4" spans="2:8" ht="15" customHeight="1" x14ac:dyDescent="0.25">
      <c r="B4" s="2" t="s">
        <v>31</v>
      </c>
      <c r="C4" s="264"/>
      <c r="D4" s="265">
        <v>500</v>
      </c>
      <c r="E4" s="264"/>
      <c r="F4" s="264"/>
      <c r="G4" s="3" t="s">
        <v>93</v>
      </c>
    </row>
    <row r="5" spans="2:8" ht="15" customHeight="1" x14ac:dyDescent="0.25">
      <c r="B5" s="2" t="s">
        <v>13</v>
      </c>
      <c r="C5" s="264"/>
      <c r="D5" s="265">
        <v>425</v>
      </c>
      <c r="E5" s="264"/>
      <c r="F5" s="266" t="s">
        <v>3</v>
      </c>
      <c r="G5" s="3" t="s">
        <v>99</v>
      </c>
    </row>
    <row r="6" spans="2:8" ht="15" customHeight="1" x14ac:dyDescent="0.25">
      <c r="B6" s="2" t="s">
        <v>14</v>
      </c>
      <c r="C6" s="264"/>
      <c r="D6" s="265">
        <v>300</v>
      </c>
      <c r="E6" s="264"/>
      <c r="F6" s="266" t="s">
        <v>33</v>
      </c>
      <c r="G6" s="3" t="s">
        <v>92</v>
      </c>
    </row>
    <row r="7" spans="2:8" ht="15" customHeight="1" x14ac:dyDescent="0.25">
      <c r="B7" s="2" t="s">
        <v>38</v>
      </c>
      <c r="C7" s="264"/>
      <c r="D7" s="265">
        <v>65</v>
      </c>
      <c r="E7" s="264"/>
      <c r="F7" s="266" t="s">
        <v>1</v>
      </c>
      <c r="G7" s="3" t="s">
        <v>114</v>
      </c>
    </row>
    <row r="8" spans="2:8" ht="15" customHeight="1" x14ac:dyDescent="0.25">
      <c r="B8" s="2" t="s">
        <v>44</v>
      </c>
      <c r="C8" s="264"/>
      <c r="D8" s="267">
        <v>14</v>
      </c>
      <c r="E8" s="264"/>
      <c r="F8" s="266" t="s">
        <v>1</v>
      </c>
      <c r="G8" s="3" t="s">
        <v>125</v>
      </c>
    </row>
    <row r="9" spans="2:8" ht="15" customHeight="1" x14ac:dyDescent="0.25">
      <c r="B9" s="2" t="s">
        <v>22</v>
      </c>
      <c r="C9" s="264"/>
      <c r="D9" s="265">
        <v>300</v>
      </c>
      <c r="E9" s="264"/>
      <c r="F9" s="266"/>
      <c r="G9" s="3" t="s">
        <v>121</v>
      </c>
    </row>
    <row r="10" spans="2:8" ht="15" customHeight="1" x14ac:dyDescent="0.25">
      <c r="B10" s="2" t="s">
        <v>15</v>
      </c>
      <c r="C10" s="264"/>
      <c r="D10" s="265">
        <v>10</v>
      </c>
      <c r="E10" s="264"/>
      <c r="F10" s="266" t="s">
        <v>1</v>
      </c>
      <c r="G10" s="3" t="s">
        <v>100</v>
      </c>
    </row>
    <row r="11" spans="2:8" ht="15" customHeight="1" x14ac:dyDescent="0.25">
      <c r="B11" s="2" t="s">
        <v>16</v>
      </c>
      <c r="C11" s="264"/>
      <c r="D11" s="265">
        <v>10</v>
      </c>
      <c r="E11" s="264"/>
      <c r="F11" s="266" t="s">
        <v>1</v>
      </c>
      <c r="G11" s="3" t="s">
        <v>81</v>
      </c>
    </row>
    <row r="12" spans="2:8" ht="15" customHeight="1" x14ac:dyDescent="0.25">
      <c r="B12" s="2" t="s">
        <v>17</v>
      </c>
      <c r="C12" s="264"/>
      <c r="D12" s="265">
        <v>5</v>
      </c>
      <c r="E12" s="264"/>
      <c r="F12" s="266" t="s">
        <v>1</v>
      </c>
      <c r="G12" s="27" t="s">
        <v>82</v>
      </c>
      <c r="H12" s="6"/>
    </row>
    <row r="13" spans="2:8" ht="15" customHeight="1" x14ac:dyDescent="0.25">
      <c r="B13" s="2" t="s">
        <v>64</v>
      </c>
      <c r="C13" s="264"/>
      <c r="D13" s="267">
        <v>1</v>
      </c>
      <c r="E13" s="264"/>
      <c r="F13" s="266" t="s">
        <v>1</v>
      </c>
      <c r="G13" s="3" t="s">
        <v>90</v>
      </c>
    </row>
    <row r="14" spans="2:8" ht="15" customHeight="1" x14ac:dyDescent="0.25">
      <c r="B14" s="2" t="s">
        <v>18</v>
      </c>
      <c r="C14" s="264"/>
      <c r="D14" s="267">
        <v>0</v>
      </c>
      <c r="E14" s="264"/>
      <c r="F14" s="266" t="s">
        <v>1</v>
      </c>
      <c r="G14" s="3" t="s">
        <v>41</v>
      </c>
    </row>
    <row r="15" spans="2:8" ht="6" customHeight="1" x14ac:dyDescent="0.25">
      <c r="B15" s="2"/>
      <c r="C15" s="264"/>
      <c r="D15" s="268"/>
      <c r="E15" s="264"/>
      <c r="F15" s="264"/>
      <c r="G15" s="3"/>
    </row>
    <row r="16" spans="2:8" ht="15" customHeight="1" x14ac:dyDescent="0.25">
      <c r="B16" s="7" t="s">
        <v>12</v>
      </c>
      <c r="C16" s="264"/>
      <c r="D16" s="268"/>
      <c r="E16" s="264"/>
      <c r="F16" s="269"/>
      <c r="G16" s="3"/>
    </row>
    <row r="17" spans="2:8" ht="15" customHeight="1" x14ac:dyDescent="0.25">
      <c r="B17" s="2" t="s">
        <v>68</v>
      </c>
      <c r="C17" s="264"/>
      <c r="D17" s="266">
        <f>ROUND(D8*86.3/100,2)</f>
        <v>12.08</v>
      </c>
      <c r="E17" s="270"/>
      <c r="F17" s="266" t="s">
        <v>1</v>
      </c>
      <c r="G17" s="3" t="s">
        <v>129</v>
      </c>
      <c r="H17" s="6"/>
    </row>
    <row r="18" spans="2:8" ht="15" customHeight="1" x14ac:dyDescent="0.25">
      <c r="B18" s="2" t="s">
        <v>118</v>
      </c>
      <c r="C18" s="264"/>
      <c r="D18" s="266">
        <f>ROUND(D17/D9,3)</f>
        <v>0.04</v>
      </c>
      <c r="E18" s="264"/>
      <c r="F18" s="266" t="s">
        <v>1</v>
      </c>
      <c r="G18" s="3"/>
      <c r="H18" s="6"/>
    </row>
    <row r="19" spans="2:8" ht="15" customHeight="1" x14ac:dyDescent="0.25">
      <c r="B19" s="2" t="s">
        <v>119</v>
      </c>
      <c r="C19" s="264"/>
      <c r="D19" s="266">
        <f>ROUND(D18*10000/(31.104),2)</f>
        <v>12.86</v>
      </c>
      <c r="E19" s="264"/>
      <c r="F19" s="266" t="s">
        <v>2</v>
      </c>
      <c r="G19" s="3" t="s">
        <v>116</v>
      </c>
    </row>
    <row r="20" spans="2:8" ht="15" customHeight="1" x14ac:dyDescent="0.25">
      <c r="B20" s="2" t="s">
        <v>5</v>
      </c>
      <c r="C20" s="264"/>
      <c r="D20" s="266">
        <f>D5*D7/100</f>
        <v>276.25</v>
      </c>
      <c r="E20" s="264"/>
      <c r="F20" s="266" t="s">
        <v>34</v>
      </c>
      <c r="G20" s="3"/>
    </row>
    <row r="21" spans="2:8" ht="15" customHeight="1" x14ac:dyDescent="0.25">
      <c r="B21" s="2" t="s">
        <v>8</v>
      </c>
      <c r="C21" s="264"/>
      <c r="D21" s="266">
        <f>D5*D6/1000</f>
        <v>127.5</v>
      </c>
      <c r="E21" s="264"/>
      <c r="F21" s="266" t="s">
        <v>65</v>
      </c>
      <c r="G21" s="3"/>
    </row>
    <row r="22" spans="2:8" ht="15" customHeight="1" x14ac:dyDescent="0.25">
      <c r="B22" s="2" t="s">
        <v>74</v>
      </c>
      <c r="C22" s="264"/>
      <c r="D22" s="266">
        <f>D7/100*D21</f>
        <v>82.875</v>
      </c>
      <c r="E22" s="264"/>
      <c r="F22" s="266" t="s">
        <v>65</v>
      </c>
      <c r="G22" s="3"/>
    </row>
    <row r="23" spans="2:8" ht="15" customHeight="1" x14ac:dyDescent="0.25">
      <c r="B23" s="8" t="s">
        <v>4</v>
      </c>
      <c r="C23" s="264"/>
      <c r="D23" s="271">
        <f>D21*D4</f>
        <v>63750</v>
      </c>
      <c r="E23" s="264"/>
      <c r="F23" s="266" t="s">
        <v>65</v>
      </c>
      <c r="G23" s="3"/>
    </row>
    <row r="24" spans="2:8" ht="15" customHeight="1" x14ac:dyDescent="0.25">
      <c r="B24" s="7" t="s">
        <v>0</v>
      </c>
      <c r="C24" s="264"/>
      <c r="D24" s="272">
        <f>D22*D4</f>
        <v>41437.5</v>
      </c>
      <c r="E24" s="264"/>
      <c r="F24" s="266" t="s">
        <v>65</v>
      </c>
      <c r="G24" s="3"/>
    </row>
    <row r="25" spans="2:8" ht="15" customHeight="1" x14ac:dyDescent="0.25">
      <c r="B25" s="2" t="s">
        <v>7</v>
      </c>
      <c r="C25" s="264"/>
      <c r="D25" s="266">
        <f>D24*D17/100</f>
        <v>5005.6499999999996</v>
      </c>
      <c r="E25" s="264"/>
      <c r="F25" s="266" t="s">
        <v>65</v>
      </c>
      <c r="G25" s="3" t="s">
        <v>70</v>
      </c>
    </row>
    <row r="26" spans="2:8" ht="15" customHeight="1" x14ac:dyDescent="0.25">
      <c r="B26" s="2" t="s">
        <v>63</v>
      </c>
      <c r="C26" s="264"/>
      <c r="D26" s="266">
        <f>D25/D9</f>
        <v>16.685499999999998</v>
      </c>
      <c r="E26" s="264"/>
      <c r="F26" s="266" t="s">
        <v>65</v>
      </c>
      <c r="G26" s="3" t="s">
        <v>70</v>
      </c>
    </row>
    <row r="27" spans="2:8" ht="15" customHeight="1" x14ac:dyDescent="0.25">
      <c r="B27" s="2" t="s">
        <v>28</v>
      </c>
      <c r="C27" s="264"/>
      <c r="D27" s="273">
        <f>D25*(100-D10)/100</f>
        <v>4505.0849999999991</v>
      </c>
      <c r="E27" s="264"/>
      <c r="F27" s="266" t="s">
        <v>65</v>
      </c>
      <c r="G27" s="3" t="s">
        <v>71</v>
      </c>
    </row>
    <row r="28" spans="2:8" ht="15" customHeight="1" x14ac:dyDescent="0.25">
      <c r="B28" s="2" t="s">
        <v>29</v>
      </c>
      <c r="C28" s="264"/>
      <c r="D28" s="266">
        <f>D26*(100-D10)/100</f>
        <v>15.016949999999998</v>
      </c>
      <c r="E28" s="264"/>
      <c r="F28" s="266" t="s">
        <v>65</v>
      </c>
      <c r="G28" s="3" t="s">
        <v>72</v>
      </c>
    </row>
    <row r="29" spans="2:8" ht="6" customHeight="1" x14ac:dyDescent="0.25">
      <c r="B29" s="2"/>
      <c r="C29" s="264"/>
      <c r="D29" s="274"/>
      <c r="E29" s="264"/>
      <c r="F29" s="266"/>
      <c r="G29" s="3"/>
    </row>
    <row r="30" spans="2:8" ht="15" customHeight="1" x14ac:dyDescent="0.25">
      <c r="B30" s="2" t="s">
        <v>26</v>
      </c>
      <c r="C30" s="264"/>
      <c r="D30" s="266">
        <f>D27*(100-D11)/100</f>
        <v>4054.5764999999992</v>
      </c>
      <c r="E30" s="264"/>
      <c r="F30" s="266" t="s">
        <v>65</v>
      </c>
      <c r="G30" s="3"/>
    </row>
    <row r="31" spans="2:8" ht="15" customHeight="1" x14ac:dyDescent="0.25">
      <c r="B31" s="2" t="s">
        <v>27</v>
      </c>
      <c r="C31" s="264"/>
      <c r="D31" s="266">
        <f>D28*(100-D13)/100</f>
        <v>14.866780499999997</v>
      </c>
      <c r="E31" s="264"/>
      <c r="F31" s="266" t="s">
        <v>65</v>
      </c>
      <c r="G31" s="3"/>
    </row>
    <row r="32" spans="2:8" ht="6" customHeight="1" x14ac:dyDescent="0.25">
      <c r="B32" s="2"/>
      <c r="C32" s="264"/>
      <c r="D32" s="274"/>
      <c r="E32" s="264"/>
      <c r="F32" s="264"/>
      <c r="G32" s="3"/>
    </row>
    <row r="33" spans="2:7" ht="15" customHeight="1" x14ac:dyDescent="0.25">
      <c r="B33" s="2" t="s">
        <v>47</v>
      </c>
      <c r="C33" s="264"/>
      <c r="D33" s="266">
        <f>D31*100/D30</f>
        <v>0.3666666666666667</v>
      </c>
      <c r="E33" s="264"/>
      <c r="F33" s="266" t="s">
        <v>1</v>
      </c>
      <c r="G33" s="3"/>
    </row>
    <row r="34" spans="2:7" ht="15" customHeight="1" x14ac:dyDescent="0.25">
      <c r="B34" s="2" t="s">
        <v>48</v>
      </c>
      <c r="C34" s="264"/>
      <c r="D34" s="275">
        <f>ROUND(D33*1000/31.104,1)</f>
        <v>11.8</v>
      </c>
      <c r="E34" s="264"/>
      <c r="F34" s="266" t="s">
        <v>2</v>
      </c>
      <c r="G34" s="3"/>
    </row>
    <row r="35" spans="2:7" ht="6" customHeight="1" x14ac:dyDescent="0.25">
      <c r="B35" s="2"/>
      <c r="C35" s="264"/>
      <c r="D35" s="268"/>
      <c r="E35" s="264"/>
      <c r="F35" s="266"/>
      <c r="G35" s="3"/>
    </row>
    <row r="36" spans="2:7" ht="15" customHeight="1" x14ac:dyDescent="0.25">
      <c r="B36" s="2" t="s">
        <v>39</v>
      </c>
      <c r="C36" s="264"/>
      <c r="D36" s="275">
        <f>D30*(100-D12)/100</f>
        <v>3851.8476749999991</v>
      </c>
      <c r="E36" s="264"/>
      <c r="F36" s="266" t="s">
        <v>65</v>
      </c>
      <c r="G36" s="3"/>
    </row>
    <row r="37" spans="2:7" ht="15" customHeight="1" x14ac:dyDescent="0.25">
      <c r="B37" s="2" t="s">
        <v>30</v>
      </c>
      <c r="C37" s="264"/>
      <c r="D37" s="276">
        <f>D31*(100-D14)/100</f>
        <v>14.866780499999997</v>
      </c>
      <c r="E37" s="264"/>
      <c r="F37" s="266" t="s">
        <v>65</v>
      </c>
      <c r="G37" s="3"/>
    </row>
    <row r="38" spans="2:7" ht="15" customHeight="1" x14ac:dyDescent="0.25">
      <c r="B38" s="2" t="s">
        <v>9</v>
      </c>
      <c r="C38" s="264"/>
      <c r="D38" s="275">
        <f>100*(D25-D36)/D25</f>
        <v>23.050000000000011</v>
      </c>
      <c r="E38" s="264"/>
      <c r="F38" s="266" t="s">
        <v>1</v>
      </c>
      <c r="G38" s="3"/>
    </row>
    <row r="39" spans="2:7" ht="15" customHeight="1" x14ac:dyDescent="0.25">
      <c r="B39" s="2" t="s">
        <v>10</v>
      </c>
      <c r="C39" s="264"/>
      <c r="D39" s="275">
        <f>100*(D26-D37)/D26</f>
        <v>10.900000000000004</v>
      </c>
      <c r="E39" s="264"/>
      <c r="F39" s="266" t="s">
        <v>1</v>
      </c>
      <c r="G39" s="3"/>
    </row>
    <row r="40" spans="2:7" ht="15" customHeight="1" x14ac:dyDescent="0.25">
      <c r="B40" s="2" t="s">
        <v>6</v>
      </c>
      <c r="C40" s="264"/>
      <c r="D40" s="277">
        <f>ROUND(D36/D37,0)</f>
        <v>259</v>
      </c>
      <c r="E40" s="264"/>
      <c r="F40" s="266"/>
      <c r="G40" s="3" t="s">
        <v>73</v>
      </c>
    </row>
    <row r="41" spans="2:7" ht="15" customHeight="1" x14ac:dyDescent="0.25">
      <c r="B41" s="2" t="s">
        <v>46</v>
      </c>
      <c r="C41" s="264"/>
      <c r="D41" s="278">
        <f>ROUND(D37*1000/D4,1)</f>
        <v>29.7</v>
      </c>
      <c r="E41" s="264"/>
      <c r="F41" s="266" t="s">
        <v>66</v>
      </c>
      <c r="G41" s="3" t="s">
        <v>140</v>
      </c>
    </row>
    <row r="42" spans="2:7" ht="15" customHeight="1" thickBot="1" x14ac:dyDescent="0.3">
      <c r="B42" s="4" t="s">
        <v>67</v>
      </c>
      <c r="C42" s="279"/>
      <c r="D42" s="280">
        <f>ROUND(0.5*D41,2)</f>
        <v>14.85</v>
      </c>
      <c r="E42" s="279"/>
      <c r="F42" s="281" t="s">
        <v>66</v>
      </c>
      <c r="G42" s="5" t="s">
        <v>141</v>
      </c>
    </row>
    <row r="43" spans="2:7" ht="15.75" thickTop="1" x14ac:dyDescent="0.25"/>
  </sheetData>
  <sheetProtection algorithmName="SHA-512" hashValue="X4kz5pqkR+l7aXwy7wSbHQ7gJ3s466092UtEsx7rf5bBvWTVSp/inF6ekzs0VxaX8QT/8S7FoZ3JOv4x7QXQWA==" saltValue="TK6U/z21QLVsLTJfyS7bZA==" spinCount="100000" sheet="1" objects="1" scenarios="1"/>
  <customSheetViews>
    <customSheetView guid="{E2772306-AE06-43A8-AC22-D91D9C3C7EF8}" scale="75" fitToPage="1">
      <selection activeCell="A36" sqref="A36:XFD36"/>
      <pageMargins left="0.39370078740157483" right="0.39370078740157483" top="1.1811023622047245" bottom="0.39370078740157483" header="0.59055118110236227" footer="0.31496062992125984"/>
      <pageSetup paperSize="9" scale="39" orientation="landscape" r:id="rId1"/>
      <headerFooter>
        <oddHeader>&amp;C&amp;"-,Bold"&amp;14Melle production models
Leigh Bettenay 2021</oddHeader>
        <oddFooter>&amp;RPrinted:&amp;T&amp;D</oddFooter>
      </headerFooter>
    </customSheetView>
    <customSheetView guid="{238C921E-9284-4CD0-9CF6-84DD5C0E8B33}" scale="75" fitToPage="1">
      <selection activeCell="G8" sqref="G8"/>
      <pageMargins left="0.39370078740157483" right="0.39370078740157483" top="1.1811023622047245" bottom="0.39370078740157483" header="0.59055118110236227" footer="0.31496062992125984"/>
      <pageSetup paperSize="9" scale="39" orientation="landscape" r:id="rId2"/>
      <headerFooter>
        <oddHeader>&amp;C&amp;"-,Bold"&amp;14Melle production models
Leigh Bettenay 2021</oddHeader>
        <oddFooter>&amp;RPrinted:&amp;T&amp;D</oddFooter>
      </headerFooter>
    </customSheetView>
  </customSheetViews>
  <pageMargins left="0.39370078740157483" right="0.39370078740157483" top="1.1811023622047245" bottom="0.39370078740157483" header="0.59055118110236227" footer="0.31496062992125984"/>
  <pageSetup paperSize="9" scale="49" orientation="landscape" r:id="rId3"/>
  <headerFooter>
    <oddHeader>&amp;C&amp;"-,Bold"&amp;14Melle production models
Leigh Bettenay 2022</oddHeader>
    <oddFooter>&amp;RPrinted:&amp;T&amp;D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pageSetUpPr fitToPage="1"/>
  </sheetPr>
  <dimension ref="A1:BM48"/>
  <sheetViews>
    <sheetView zoomScale="90" zoomScaleNormal="90" workbookViewId="0">
      <selection activeCell="J2" sqref="J2"/>
    </sheetView>
  </sheetViews>
  <sheetFormatPr defaultColWidth="9.140625" defaultRowHeight="15" x14ac:dyDescent="0.25"/>
  <cols>
    <col min="1" max="1" width="1.7109375" style="21" customWidth="1"/>
    <col min="2" max="2" width="75.7109375" style="21" customWidth="1"/>
    <col min="3" max="3" width="1.42578125" style="21" customWidth="1"/>
    <col min="4" max="4" width="11" style="21" customWidth="1"/>
    <col min="5" max="5" width="11.7109375" style="21" customWidth="1"/>
    <col min="6" max="6" width="11.85546875" style="21" customWidth="1"/>
    <col min="7" max="7" width="11" style="21" customWidth="1"/>
    <col min="8" max="8" width="1.140625" style="21" customWidth="1"/>
    <col min="9" max="9" width="12.7109375" style="21" customWidth="1"/>
    <col min="10" max="10" width="176.140625" style="21" customWidth="1"/>
    <col min="11" max="11" width="16" style="21" customWidth="1"/>
    <col min="12" max="12" width="9.140625" style="21"/>
    <col min="13" max="13" width="14.28515625" style="21" bestFit="1" customWidth="1"/>
    <col min="14" max="14" width="38.7109375" style="22" customWidth="1"/>
    <col min="15" max="15" width="12" style="21" bestFit="1" customWidth="1"/>
    <col min="16" max="16384" width="9.140625" style="21"/>
  </cols>
  <sheetData>
    <row r="1" spans="2:14" ht="5.25" customHeight="1" thickBot="1" x14ac:dyDescent="0.3"/>
    <row r="2" spans="2:14" ht="15.75" thickTop="1" x14ac:dyDescent="0.25">
      <c r="B2" s="92" t="s">
        <v>113</v>
      </c>
      <c r="C2" s="116"/>
      <c r="D2" s="119" t="s">
        <v>101</v>
      </c>
      <c r="E2" s="120" t="s">
        <v>108</v>
      </c>
      <c r="F2" s="121" t="s">
        <v>107</v>
      </c>
      <c r="G2" s="122" t="s">
        <v>106</v>
      </c>
      <c r="H2" s="84"/>
      <c r="I2" s="136" t="s">
        <v>45</v>
      </c>
      <c r="J2" s="23" t="s">
        <v>139</v>
      </c>
      <c r="N2" s="21"/>
    </row>
    <row r="3" spans="2:14" ht="15" customHeight="1" x14ac:dyDescent="0.25">
      <c r="B3" s="24" t="str">
        <f>Realistic_case!B3</f>
        <v>Assumptions</v>
      </c>
      <c r="C3" s="117"/>
      <c r="D3" s="28"/>
      <c r="E3" s="125"/>
      <c r="F3" s="25"/>
      <c r="G3" s="25"/>
      <c r="H3" s="135"/>
      <c r="I3" s="137"/>
      <c r="J3" s="35" t="s">
        <v>42</v>
      </c>
      <c r="N3" s="21"/>
    </row>
    <row r="4" spans="2:14" ht="15" customHeight="1" x14ac:dyDescent="0.25">
      <c r="B4" s="26" t="str">
        <f>Realistic_case!B4</f>
        <v>Number of dedicated full-time miners at the mining face</v>
      </c>
      <c r="C4" s="117"/>
      <c r="D4" s="106">
        <f>Working_sheet!D4</f>
        <v>100</v>
      </c>
      <c r="E4" s="126">
        <f>Extreme_case!D4</f>
        <v>500</v>
      </c>
      <c r="F4" s="129">
        <f>Optimistic_case!D4</f>
        <v>200</v>
      </c>
      <c r="G4" s="132">
        <f>Realistic_case!D4</f>
        <v>100</v>
      </c>
      <c r="H4" s="135"/>
      <c r="I4" s="137"/>
      <c r="J4" s="27" t="str">
        <f>Realistic_case!G4</f>
        <v>Excluding other underground workers, such as ore transporters, timber transporters, etc., and workers involved in processing and timber procurement.</v>
      </c>
      <c r="N4" s="21"/>
    </row>
    <row r="5" spans="2:14" ht="15" customHeight="1" x14ac:dyDescent="0.25">
      <c r="B5" s="26" t="str">
        <f>Realistic_case!B5</f>
        <v>Rock broken per miner per day (kg)</v>
      </c>
      <c r="C5" s="117"/>
      <c r="D5" s="106">
        <f>Working_sheet!D5</f>
        <v>150</v>
      </c>
      <c r="E5" s="126">
        <f>Extreme_case!D5</f>
        <v>425</v>
      </c>
      <c r="F5" s="129">
        <f>Optimistic_case!D5</f>
        <v>250</v>
      </c>
      <c r="G5" s="132">
        <f>Realistic_case!D5</f>
        <v>150</v>
      </c>
      <c r="H5" s="135"/>
      <c r="I5" s="138" t="str">
        <f>Realistic_case!F5</f>
        <v>kg</v>
      </c>
      <c r="J5" s="27" t="str">
        <f>Realistic_case!G5</f>
        <v>Similar to best high medieval estimates and Lavrion estimate, and comparable with better outcomes of  firesetting experiments.</v>
      </c>
      <c r="N5" s="21"/>
    </row>
    <row r="6" spans="2:14" ht="15" customHeight="1" x14ac:dyDescent="0.25">
      <c r="B6" s="26" t="str">
        <f>Realistic_case!B6</f>
        <v>No of workdays in year (6 working days per week)</v>
      </c>
      <c r="C6" s="117"/>
      <c r="D6" s="106">
        <f>Working_sheet!D6</f>
        <v>300</v>
      </c>
      <c r="E6" s="126">
        <f>Extreme_case!D6</f>
        <v>300</v>
      </c>
      <c r="F6" s="129">
        <f>Optimistic_case!D6</f>
        <v>300</v>
      </c>
      <c r="G6" s="132">
        <f>Realistic_case!D6</f>
        <v>300</v>
      </c>
      <c r="H6" s="135"/>
      <c r="I6" s="138" t="str">
        <f>Realistic_case!F6</f>
        <v>days</v>
      </c>
      <c r="J6" s="27" t="str">
        <f>Realistic_case!G6</f>
        <v>300 working days seems a reasonable maximum for a Christian society - Sundays off and a few selected saint's days. Could have been much lower if mining was seasonal.</v>
      </c>
      <c r="N6" s="21"/>
    </row>
    <row r="7" spans="2:14" ht="15" customHeight="1" x14ac:dyDescent="0.25">
      <c r="B7" s="26" t="str">
        <f>Realistic_case!B7</f>
        <v>Proportion of ore presented for crushing (as % of all rock mined)</v>
      </c>
      <c r="C7" s="117"/>
      <c r="D7" s="106">
        <f>Working_sheet!D7</f>
        <v>50</v>
      </c>
      <c r="E7" s="126">
        <f>Extreme_case!D7</f>
        <v>65</v>
      </c>
      <c r="F7" s="129">
        <f>Optimistic_case!D7</f>
        <v>60</v>
      </c>
      <c r="G7" s="132">
        <f>Realistic_case!D7</f>
        <v>50</v>
      </c>
      <c r="H7" s="135"/>
      <c r="I7" s="138" t="str">
        <f>Realistic_case!F7</f>
        <v>%</v>
      </c>
      <c r="J7" s="27" t="str">
        <f>Realistic_case!G7</f>
        <v>Allowance (probably insufficient) for shaft sinking, exploratory development, mining waste in the faces, accidental dilution, discarded proportion during ore dressing.</v>
      </c>
      <c r="N7" s="21"/>
    </row>
    <row r="8" spans="2:14" ht="15" customHeight="1" x14ac:dyDescent="0.25">
      <c r="B8" s="26" t="str">
        <f>Realistic_case!B8</f>
        <v>Average grade of ore (weight % galena) as presented for crushing</v>
      </c>
      <c r="C8" s="117"/>
      <c r="D8" s="224">
        <f>Working_sheet!D8</f>
        <v>6</v>
      </c>
      <c r="E8" s="225">
        <f>Extreme_case!D8</f>
        <v>14</v>
      </c>
      <c r="F8" s="226">
        <f>Optimistic_case!D8</f>
        <v>10</v>
      </c>
      <c r="G8" s="227">
        <f>Realistic_case!D8</f>
        <v>6</v>
      </c>
      <c r="H8" s="135"/>
      <c r="I8" s="138" t="str">
        <f>Realistic_case!F8</f>
        <v>%</v>
      </c>
      <c r="J8" s="27" t="str">
        <f>Realistic_case!G8</f>
        <v>6 % galena by weight would be more than twice as good as the best "remnant" ore today, but similar to that claimed as recoverable today from underground faces (Téreygeol, 2013, p.82).</v>
      </c>
      <c r="N8" s="21"/>
    </row>
    <row r="9" spans="2:14" ht="15" customHeight="1" x14ac:dyDescent="0.25">
      <c r="B9" s="26" t="str">
        <f>Realistic_case!B9</f>
        <v>Pb/Ag ratio in ore</v>
      </c>
      <c r="C9" s="117"/>
      <c r="D9" s="106">
        <f>Working_sheet!D9</f>
        <v>530</v>
      </c>
      <c r="E9" s="126">
        <f>Extreme_case!D9</f>
        <v>300</v>
      </c>
      <c r="F9" s="129">
        <f>Optimistic_case!D9</f>
        <v>450</v>
      </c>
      <c r="G9" s="132">
        <f>Realistic_case!D9</f>
        <v>530</v>
      </c>
      <c r="H9" s="135"/>
      <c r="I9" s="138"/>
      <c r="J9" s="27" t="str">
        <f>Realistic_case!G9</f>
        <v>Equivalent to the existing remnant ore value, and at the mid-point of galena contents reported from Melle.</v>
      </c>
      <c r="N9" s="21"/>
    </row>
    <row r="10" spans="2:14" ht="15" customHeight="1" x14ac:dyDescent="0.25">
      <c r="B10" s="26" t="str">
        <f>Realistic_case!B10</f>
        <v xml:space="preserve">% Silver-bearing galena lost in crushing and concentrating </v>
      </c>
      <c r="C10" s="117"/>
      <c r="D10" s="106">
        <f>Working_sheet!D10</f>
        <v>25</v>
      </c>
      <c r="E10" s="126">
        <f>Extreme_case!D10</f>
        <v>10</v>
      </c>
      <c r="F10" s="129">
        <f>Optimistic_case!D10</f>
        <v>20</v>
      </c>
      <c r="G10" s="132">
        <f>Realistic_case!D10</f>
        <v>25</v>
      </c>
      <c r="H10" s="135"/>
      <c r="I10" s="138" t="str">
        <f>Realistic_case!F10</f>
        <v>%</v>
      </c>
      <c r="J10" s="27" t="str">
        <f>Realistic_case!G10</f>
        <v>This would still be significantly better than most mines pre-1892 (introduction of flotation). 30-50 % loss is quite possible and probably more realistic.</v>
      </c>
      <c r="N10" s="21"/>
    </row>
    <row r="11" spans="2:14" ht="15" customHeight="1" x14ac:dyDescent="0.25">
      <c r="B11" s="26" t="str">
        <f>Realistic_case!B11</f>
        <v>% Pb lost in smelting &amp; refining to slag and air</v>
      </c>
      <c r="C11" s="117"/>
      <c r="D11" s="106">
        <f>Working_sheet!D11</f>
        <v>30</v>
      </c>
      <c r="E11" s="126">
        <f>Extreme_case!D11</f>
        <v>10</v>
      </c>
      <c r="F11" s="129">
        <f>Optimistic_case!D11</f>
        <v>20</v>
      </c>
      <c r="G11" s="132">
        <f>Realistic_case!D11</f>
        <v>30</v>
      </c>
      <c r="H11" s="135"/>
      <c r="I11" s="138" t="str">
        <f>Realistic_case!F11</f>
        <v>%</v>
      </c>
      <c r="J11" s="27" t="str">
        <f>Realistic_case!G11</f>
        <v>Could be as high as 50 % on some estimates, but has no impact on Ag recovery.</v>
      </c>
      <c r="N11" s="21"/>
    </row>
    <row r="12" spans="2:14" ht="15" customHeight="1" x14ac:dyDescent="0.25">
      <c r="B12" s="26" t="str">
        <f>Realistic_case!B12</f>
        <v>% Pb lost in cupelling and then re-smelting of litharge</v>
      </c>
      <c r="C12" s="117"/>
      <c r="D12" s="106">
        <f>Working_sheet!D12</f>
        <v>15</v>
      </c>
      <c r="E12" s="126">
        <f>Extreme_case!D12</f>
        <v>5</v>
      </c>
      <c r="F12" s="129">
        <f>Optimistic_case!D12</f>
        <v>15</v>
      </c>
      <c r="G12" s="132">
        <f>Realistic_case!D12</f>
        <v>15</v>
      </c>
      <c r="H12" s="135"/>
      <c r="I12" s="138" t="str">
        <f>Realistic_case!F12</f>
        <v>%</v>
      </c>
      <c r="J12" s="27" t="str">
        <f>Realistic_case!G12</f>
        <v xml:space="preserve">In Roman times, Pliny claims this was 2/9 or 22 % (Bostock and Riley, 1855, Plin. Nat. 34. 47). Early-modern losses were as low as 5 % or better. It has no influence on the recovery of Ag. </v>
      </c>
      <c r="N12" s="21"/>
    </row>
    <row r="13" spans="2:14" ht="15" customHeight="1" x14ac:dyDescent="0.25">
      <c r="B13" s="26" t="str">
        <f>Realistic_case!B13</f>
        <v>% Ag lost in smelting and refining (but not cupellation)</v>
      </c>
      <c r="C13" s="117"/>
      <c r="D13" s="224">
        <f>Working_sheet!D13</f>
        <v>5</v>
      </c>
      <c r="E13" s="225">
        <f>Extreme_case!D13</f>
        <v>1</v>
      </c>
      <c r="F13" s="226">
        <f>Optimistic_case!D13</f>
        <v>2</v>
      </c>
      <c r="G13" s="227">
        <f>Realistic_case!D13</f>
        <v>5</v>
      </c>
      <c r="H13" s="135"/>
      <c r="I13" s="138" t="str">
        <f>Realistic_case!F13</f>
        <v>%</v>
      </c>
      <c r="J13" s="27" t="str">
        <f>Realistic_case!G13</f>
        <v>Trapped in slag within unrecoverable galena particles and/or alloyed in fine Pb metal droplets. It has no influence on the recovery of Ag - unless slag was crushed and re-smelted.</v>
      </c>
      <c r="N13" s="21"/>
    </row>
    <row r="14" spans="2:14" ht="15" customHeight="1" x14ac:dyDescent="0.25">
      <c r="B14" s="26" t="str">
        <f>Realistic_case!B14</f>
        <v>% Ag lost in cupelling</v>
      </c>
      <c r="C14" s="117"/>
      <c r="D14" s="224">
        <f>Working_sheet!D14</f>
        <v>2</v>
      </c>
      <c r="E14" s="225">
        <f>Extreme_case!D14</f>
        <v>0</v>
      </c>
      <c r="F14" s="226">
        <f>Optimistic_case!D14</f>
        <v>1</v>
      </c>
      <c r="G14" s="227">
        <f>Realistic_case!D14</f>
        <v>2</v>
      </c>
      <c r="H14" s="135"/>
      <c r="I14" s="138" t="str">
        <f>Realistic_case!F14</f>
        <v>%</v>
      </c>
      <c r="J14" s="27" t="str">
        <f>Realistic_case!G14</f>
        <v>Difficult to quantify but unlikely to be zero!</v>
      </c>
      <c r="N14" s="21"/>
    </row>
    <row r="15" spans="2:14" ht="6" customHeight="1" x14ac:dyDescent="0.25">
      <c r="B15" s="26"/>
      <c r="C15" s="117"/>
      <c r="D15" s="34"/>
      <c r="E15" s="127"/>
      <c r="F15" s="130"/>
      <c r="G15" s="133"/>
      <c r="H15" s="135"/>
      <c r="I15" s="137"/>
      <c r="J15" s="27"/>
      <c r="N15" s="21"/>
    </row>
    <row r="16" spans="2:14" ht="15" customHeight="1" x14ac:dyDescent="0.25">
      <c r="B16" s="24" t="str">
        <f>Realistic_case!B16</f>
        <v>Calculations</v>
      </c>
      <c r="C16" s="117"/>
      <c r="D16" s="123"/>
      <c r="E16" s="127"/>
      <c r="F16" s="130"/>
      <c r="G16" s="133"/>
      <c r="H16" s="142"/>
      <c r="I16" s="139"/>
      <c r="J16" s="27"/>
      <c r="N16" s="21"/>
    </row>
    <row r="17" spans="1:65" customFormat="1" ht="15" customHeight="1" x14ac:dyDescent="0.25">
      <c r="B17" s="2" t="str">
        <f>Realistic_case!B17</f>
        <v>Derived Pb content in ore (assuming 86.3 weight % Pb) )</v>
      </c>
      <c r="C17" s="141"/>
      <c r="D17" s="144">
        <f>Working_sheet!D17</f>
        <v>5.18</v>
      </c>
      <c r="E17" s="145">
        <f>Extreme_case!D17</f>
        <v>12.08</v>
      </c>
      <c r="F17" s="146">
        <f>Optimistic_case!D17</f>
        <v>8.6300000000000008</v>
      </c>
      <c r="G17" s="147">
        <f>Realistic_case!D17</f>
        <v>5.18</v>
      </c>
      <c r="H17" s="148"/>
      <c r="I17" s="138" t="str">
        <f>Realistic_case!F17</f>
        <v>%</v>
      </c>
      <c r="J17" s="27" t="str">
        <f>Realistic_case!G17</f>
        <v>Pure (stoichiometric) galena contains 86.6 weight % Pb but substituion in the lattice by Ag, Bi, Sb, etc., mean that natural galenas are slightly lower in lead.</v>
      </c>
      <c r="L17" s="1"/>
    </row>
    <row r="18" spans="1:65" s="30" customFormat="1" ht="15" customHeight="1" x14ac:dyDescent="0.25">
      <c r="A18" s="39"/>
      <c r="B18" s="2" t="str">
        <f>Realistic_case!B18</f>
        <v>Derived Ag content in ore based on Pb grade and Pb:Ag (weight % Ag)</v>
      </c>
      <c r="C18" s="141"/>
      <c r="D18" s="144">
        <f>Working_sheet!D18</f>
        <v>0.01</v>
      </c>
      <c r="E18" s="145">
        <f>Extreme_case!D18</f>
        <v>0.04</v>
      </c>
      <c r="F18" s="146">
        <f>Optimistic_case!D18</f>
        <v>1.9E-2</v>
      </c>
      <c r="G18" s="147">
        <f>Realistic_case!D18</f>
        <v>0.01</v>
      </c>
      <c r="H18" s="148"/>
      <c r="I18" s="138" t="str">
        <f>Realistic_case!F18</f>
        <v>%</v>
      </c>
      <c r="J18" s="40" t="s">
        <v>98</v>
      </c>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row>
    <row r="19" spans="1:65" s="30" customFormat="1" ht="15" customHeight="1" x14ac:dyDescent="0.25">
      <c r="B19" s="29" t="str">
        <f>Realistic_case!B19</f>
        <v>Derived Ag content in ore based on Pb grade and Pb:Ag (oz/tonne Ag)</v>
      </c>
      <c r="C19" s="141"/>
      <c r="D19" s="149">
        <f>Working_sheet!D19</f>
        <v>3.22</v>
      </c>
      <c r="E19" s="150">
        <f>Extreme_case!D19</f>
        <v>12.86</v>
      </c>
      <c r="F19" s="151">
        <f>Optimistic_case!D19</f>
        <v>6.11</v>
      </c>
      <c r="G19" s="152">
        <f>Realistic_case!D19</f>
        <v>3.22</v>
      </c>
      <c r="H19" s="148"/>
      <c r="I19" s="151" t="str">
        <f>Realistic_case!F19</f>
        <v>oz/tonne</v>
      </c>
      <c r="J19" s="31" t="s">
        <v>116</v>
      </c>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row>
    <row r="20" spans="1:65" s="30" customFormat="1" ht="15" customHeight="1" x14ac:dyDescent="0.25">
      <c r="B20" s="29" t="str">
        <f>Realistic_case!B20</f>
        <v>Total ore produced per miner per day (kg)</v>
      </c>
      <c r="C20" s="141"/>
      <c r="D20" s="149">
        <f>Working_sheet!D20</f>
        <v>75</v>
      </c>
      <c r="E20" s="150">
        <f>Extreme_case!D20</f>
        <v>276.25</v>
      </c>
      <c r="F20" s="151">
        <f>Optimistic_case!D20</f>
        <v>150</v>
      </c>
      <c r="G20" s="152">
        <f>Realistic_case!D20</f>
        <v>75</v>
      </c>
      <c r="H20" s="148"/>
      <c r="I20" s="151" t="str">
        <f>Realistic_case!F20</f>
        <v>kg/day</v>
      </c>
      <c r="J20" s="3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row>
    <row r="21" spans="1:65" ht="15" customHeight="1" x14ac:dyDescent="0.25">
      <c r="B21" s="26" t="str">
        <f>Realistic_case!B21</f>
        <v>Total rock mined per miner per year (tonnes)</v>
      </c>
      <c r="C21" s="141"/>
      <c r="D21" s="153">
        <f>Working_sheet!D21</f>
        <v>45</v>
      </c>
      <c r="E21" s="154">
        <f>Extreme_case!D21</f>
        <v>127.5</v>
      </c>
      <c r="F21" s="155">
        <f>Optimistic_case!D21</f>
        <v>75</v>
      </c>
      <c r="G21" s="156">
        <f>Realistic_case!D21</f>
        <v>45</v>
      </c>
      <c r="H21" s="148"/>
      <c r="I21" s="157" t="str">
        <f>Realistic_case!F21</f>
        <v>tonnes/yr.</v>
      </c>
      <c r="J21" s="27"/>
      <c r="N21" s="21"/>
    </row>
    <row r="22" spans="1:65" ht="15" customHeight="1" x14ac:dyDescent="0.25">
      <c r="B22" s="26" t="str">
        <f>Realistic_case!B22</f>
        <v>Total ore mined per miner per year (tonnes)</v>
      </c>
      <c r="C22" s="141"/>
      <c r="D22" s="153">
        <f>Working_sheet!D22</f>
        <v>22.5</v>
      </c>
      <c r="E22" s="154">
        <f>Extreme_case!D22</f>
        <v>82.875</v>
      </c>
      <c r="F22" s="155">
        <f>Optimistic_case!D22</f>
        <v>45</v>
      </c>
      <c r="G22" s="156">
        <f>Realistic_case!D22</f>
        <v>22.5</v>
      </c>
      <c r="H22" s="148"/>
      <c r="I22" s="157" t="str">
        <f>Realistic_case!F22</f>
        <v>tonnes/yr.</v>
      </c>
      <c r="J22" s="27"/>
      <c r="N22" s="21"/>
    </row>
    <row r="23" spans="1:65" s="30" customFormat="1" ht="15" customHeight="1" x14ac:dyDescent="0.25">
      <c r="B23" s="36" t="str">
        <f>Realistic_case!B23</f>
        <v>Total rock mined per year by all miners (tonnes)</v>
      </c>
      <c r="C23" s="141"/>
      <c r="D23" s="158">
        <f>Working_sheet!D23</f>
        <v>4500</v>
      </c>
      <c r="E23" s="159">
        <f>Extreme_case!D23</f>
        <v>63750</v>
      </c>
      <c r="F23" s="160">
        <f>Optimistic_case!D23</f>
        <v>15000</v>
      </c>
      <c r="G23" s="161">
        <f>Realistic_case!D23</f>
        <v>4500</v>
      </c>
      <c r="H23" s="148"/>
      <c r="I23" s="151" t="str">
        <f>Realistic_case!F23</f>
        <v>tonnes/yr.</v>
      </c>
      <c r="J23" s="3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row>
    <row r="24" spans="1:65" ht="15" customHeight="1" x14ac:dyDescent="0.25">
      <c r="B24" s="24" t="str">
        <f>Realistic_case!B24</f>
        <v>Total ore mined by all miners per year (tonnes)</v>
      </c>
      <c r="C24" s="141"/>
      <c r="D24" s="162">
        <f>Working_sheet!D24</f>
        <v>2250</v>
      </c>
      <c r="E24" s="163">
        <f>Extreme_case!D24</f>
        <v>41437.5</v>
      </c>
      <c r="F24" s="164">
        <f>Optimistic_case!D24</f>
        <v>9000</v>
      </c>
      <c r="G24" s="165">
        <f>Realistic_case!D24</f>
        <v>2250</v>
      </c>
      <c r="H24" s="148"/>
      <c r="I24" s="157" t="str">
        <f>Realistic_case!F24</f>
        <v>tonnes/yr.</v>
      </c>
      <c r="J24" s="27"/>
      <c r="N24" s="21"/>
    </row>
    <row r="25" spans="1:65" ht="15" customHeight="1" x14ac:dyDescent="0.25">
      <c r="B25" s="26" t="str">
        <f>Realistic_case!B25</f>
        <v>Total contained Pb mined per year (tonnes)</v>
      </c>
      <c r="C25" s="135"/>
      <c r="D25" s="153">
        <f>Working_sheet!D25</f>
        <v>116.55</v>
      </c>
      <c r="E25" s="181">
        <f>Extreme_case!D25</f>
        <v>5005.6499999999996</v>
      </c>
      <c r="F25" s="182">
        <f>Optimistic_case!D25</f>
        <v>776.7</v>
      </c>
      <c r="G25" s="183">
        <f>Realistic_case!D25</f>
        <v>116.55</v>
      </c>
      <c r="H25" s="148"/>
      <c r="I25" s="157" t="str">
        <f>Realistic_case!F25</f>
        <v>tonnes/yr.</v>
      </c>
      <c r="J25" s="27" t="str">
        <f>Realistic_case!G25</f>
        <v>But some will be lost in crushing, separating, smelting and refining.</v>
      </c>
      <c r="N25" s="21"/>
    </row>
    <row r="26" spans="1:65" ht="15" customHeight="1" x14ac:dyDescent="0.25">
      <c r="B26" s="26" t="str">
        <f>Realistic_case!B26</f>
        <v>Total contained Ag mined per year (tonnes)</v>
      </c>
      <c r="C26" s="135"/>
      <c r="D26" s="144">
        <f>Working_sheet!D26</f>
        <v>0.21990566037735848</v>
      </c>
      <c r="E26" s="170">
        <f>Extreme_case!D26</f>
        <v>16.685499999999998</v>
      </c>
      <c r="F26" s="157">
        <f>Optimistic_case!D26</f>
        <v>1.7260000000000002</v>
      </c>
      <c r="G26" s="171">
        <f>Realistic_case!D26</f>
        <v>0.21990566037735848</v>
      </c>
      <c r="H26" s="148"/>
      <c r="I26" s="157" t="str">
        <f>Realistic_case!F26</f>
        <v>tonnes/yr.</v>
      </c>
      <c r="J26" s="27" t="str">
        <f>Realistic_case!G26</f>
        <v>But some will be lost in crushing, separating, smelting and refining.</v>
      </c>
      <c r="N26" s="21"/>
    </row>
    <row r="27" spans="1:65" ht="15" customHeight="1" x14ac:dyDescent="0.25">
      <c r="B27" s="26" t="str">
        <f>Realistic_case!B27</f>
        <v>Pb in recovered concentrate available for smelting (tonnes per year )</v>
      </c>
      <c r="C27" s="135"/>
      <c r="D27" s="218">
        <f>Working_sheet!D27</f>
        <v>87.412499999999994</v>
      </c>
      <c r="E27" s="219">
        <f>Extreme_case!D27</f>
        <v>4505.0849999999991</v>
      </c>
      <c r="F27" s="220">
        <f>Optimistic_case!D27</f>
        <v>621.36</v>
      </c>
      <c r="G27" s="221">
        <f>Realistic_case!D27</f>
        <v>87.412499999999994</v>
      </c>
      <c r="H27" s="148"/>
      <c r="I27" s="157" t="str">
        <f>Realistic_case!F27</f>
        <v>tonnes/yr.</v>
      </c>
      <c r="J27" s="27" t="str">
        <f>Realistic_case!G27</f>
        <v>Total Pb mined minus crushing/dressing loss.</v>
      </c>
      <c r="N27" s="21"/>
    </row>
    <row r="28" spans="1:65" ht="15" customHeight="1" x14ac:dyDescent="0.25">
      <c r="B28" s="26" t="str">
        <f>Realistic_case!B28</f>
        <v>Ag in recovered Pb concentrate available for smelting (tonnes per year)</v>
      </c>
      <c r="C28" s="135"/>
      <c r="D28" s="144">
        <f>Working_sheet!D28</f>
        <v>0.16492924528301883</v>
      </c>
      <c r="E28" s="170">
        <f>Extreme_case!D28</f>
        <v>15.016949999999998</v>
      </c>
      <c r="F28" s="157">
        <f>Optimistic_case!D28</f>
        <v>1.3808</v>
      </c>
      <c r="G28" s="171">
        <f>Realistic_case!D28</f>
        <v>0.16492924528301883</v>
      </c>
      <c r="H28" s="148"/>
      <c r="I28" s="157" t="str">
        <f>Realistic_case!F28</f>
        <v>tonnes/yr.</v>
      </c>
      <c r="J28" s="27" t="str">
        <f>Realistic_case!G28</f>
        <v>Total Ag mined minus crushing/dressing loss, based on estimated galena lost and Pb/Ag ratio.</v>
      </c>
      <c r="N28" s="21"/>
    </row>
    <row r="29" spans="1:65" ht="6" customHeight="1" x14ac:dyDescent="0.25">
      <c r="B29" s="26"/>
      <c r="C29" s="135"/>
      <c r="D29" s="172"/>
      <c r="E29" s="173"/>
      <c r="F29" s="174"/>
      <c r="G29" s="175"/>
      <c r="H29" s="148"/>
      <c r="I29" s="157"/>
      <c r="J29" s="27"/>
      <c r="N29" s="21"/>
    </row>
    <row r="30" spans="1:65" ht="15" customHeight="1" x14ac:dyDescent="0.25">
      <c r="B30" s="26" t="str">
        <f>Realistic_case!B30</f>
        <v>Final Pb metal produced after smelting &amp; refining (tonnes per year)</v>
      </c>
      <c r="C30" s="135"/>
      <c r="D30" s="166">
        <f>Working_sheet!D30</f>
        <v>61.188749999999999</v>
      </c>
      <c r="E30" s="167">
        <f>Extreme_case!D30</f>
        <v>4054.5764999999992</v>
      </c>
      <c r="F30" s="168">
        <f>Optimistic_case!D30</f>
        <v>497.08800000000002</v>
      </c>
      <c r="G30" s="169">
        <f>Realistic_case!D30</f>
        <v>61.188749999999999</v>
      </c>
      <c r="H30" s="148"/>
      <c r="I30" s="157" t="str">
        <f>Realistic_case!F30</f>
        <v>tonnes/yr.</v>
      </c>
      <c r="J30" s="27"/>
      <c r="N30" s="21"/>
    </row>
    <row r="31" spans="1:65" ht="15" customHeight="1" x14ac:dyDescent="0.25">
      <c r="B31" s="26" t="str">
        <f>Realistic_case!B31</f>
        <v>Final Ag produced in Pb metal after smelting &amp; refining (tonnes per year)</v>
      </c>
      <c r="C31" s="135"/>
      <c r="D31" s="144">
        <f>Working_sheet!D31</f>
        <v>0.15668278301886787</v>
      </c>
      <c r="E31" s="170">
        <f>Extreme_case!D31</f>
        <v>14.866780499999997</v>
      </c>
      <c r="F31" s="157">
        <f>Optimistic_case!D31</f>
        <v>1.3531839999999999</v>
      </c>
      <c r="G31" s="171">
        <f>Realistic_case!D31</f>
        <v>0.15668278301886787</v>
      </c>
      <c r="H31" s="148"/>
      <c r="I31" s="157" t="str">
        <f>Realistic_case!F31</f>
        <v>tonnes/yr.</v>
      </c>
      <c r="J31" s="27"/>
      <c r="N31" s="21"/>
    </row>
    <row r="32" spans="1:65" ht="6" customHeight="1" x14ac:dyDescent="0.25">
      <c r="B32" s="26"/>
      <c r="C32" s="135"/>
      <c r="D32" s="172"/>
      <c r="E32" s="173"/>
      <c r="F32" s="174"/>
      <c r="G32" s="175"/>
      <c r="H32" s="148"/>
      <c r="I32" s="176"/>
      <c r="J32" s="27"/>
      <c r="N32" s="21"/>
    </row>
    <row r="33" spans="2:65" s="30" customFormat="1" ht="15" customHeight="1" x14ac:dyDescent="0.25">
      <c r="B33" s="29" t="str">
        <f>Realistic_case!B33</f>
        <v>Ag content in Pb metal after smelting but before cupellation as percent</v>
      </c>
      <c r="C33" s="135"/>
      <c r="D33" s="149">
        <f>Working_sheet!D33</f>
        <v>0.25606469002695409</v>
      </c>
      <c r="E33" s="150">
        <f>Extreme_case!D33</f>
        <v>0.3666666666666667</v>
      </c>
      <c r="F33" s="151">
        <f>Optimistic_case!D33</f>
        <v>0.2722222222222222</v>
      </c>
      <c r="G33" s="152">
        <f>Realistic_case!D33</f>
        <v>0.25606469002695409</v>
      </c>
      <c r="H33" s="148"/>
      <c r="I33" s="151" t="str">
        <f>Realistic_case!F33</f>
        <v>%</v>
      </c>
      <c r="J33" s="3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row>
    <row r="34" spans="2:65" s="30" customFormat="1" ht="15" customHeight="1" x14ac:dyDescent="0.25">
      <c r="B34" s="29" t="str">
        <f>Realistic_case!B34</f>
        <v>Ag content in Pb metal after smelting but before cupellation as oz/tonne</v>
      </c>
      <c r="C34" s="135"/>
      <c r="D34" s="177">
        <f>Working_sheet!D34</f>
        <v>8.1999999999999993</v>
      </c>
      <c r="E34" s="178">
        <f>Extreme_case!D34</f>
        <v>11.8</v>
      </c>
      <c r="F34" s="179">
        <f>Optimistic_case!D34</f>
        <v>8.8000000000000007</v>
      </c>
      <c r="G34" s="180">
        <f>Realistic_case!D34</f>
        <v>8.1999999999999993</v>
      </c>
      <c r="H34" s="148"/>
      <c r="I34" s="151" t="str">
        <f>Realistic_case!F34</f>
        <v>oz/tonne</v>
      </c>
      <c r="J34" s="3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row>
    <row r="35" spans="2:65" ht="6" customHeight="1" x14ac:dyDescent="0.25">
      <c r="B35" s="26"/>
      <c r="C35" s="135"/>
      <c r="D35" s="172"/>
      <c r="E35" s="173"/>
      <c r="F35" s="174"/>
      <c r="G35" s="175"/>
      <c r="H35" s="148"/>
      <c r="I35" s="157">
        <f>Realistic_case!F35</f>
        <v>0</v>
      </c>
      <c r="J35" s="27"/>
      <c r="N35" s="21"/>
    </row>
    <row r="36" spans="2:65" ht="15" customHeight="1" x14ac:dyDescent="0.25">
      <c r="B36" s="26" t="str">
        <f>Realistic_case!B36</f>
        <v>Final Pb produced after cupellation and re-smelting</v>
      </c>
      <c r="C36" s="135"/>
      <c r="D36" s="153">
        <f>Working_sheet!D36</f>
        <v>52.010437499999995</v>
      </c>
      <c r="E36" s="181">
        <f>Extreme_case!D36</f>
        <v>3851.8476749999991</v>
      </c>
      <c r="F36" s="182">
        <f>Optimistic_case!D36</f>
        <v>422.52480000000003</v>
      </c>
      <c r="G36" s="183">
        <f>Realistic_case!D36</f>
        <v>52.010437499999995</v>
      </c>
      <c r="H36" s="148"/>
      <c r="I36" s="157" t="str">
        <f>Realistic_case!F36</f>
        <v>tonnes/yr.</v>
      </c>
      <c r="J36" s="27"/>
      <c r="N36" s="21"/>
    </row>
    <row r="37" spans="2:65" ht="15" customHeight="1" x14ac:dyDescent="0.25">
      <c r="B37" s="26" t="str">
        <f>Realistic_case!B37</f>
        <v>Final Ag produced after cupellation (tonnes Ag metal per year)</v>
      </c>
      <c r="C37" s="135"/>
      <c r="D37" s="184">
        <f>Working_sheet!D37</f>
        <v>0.15354912735849052</v>
      </c>
      <c r="E37" s="185">
        <f>Extreme_case!D37</f>
        <v>14.866780499999997</v>
      </c>
      <c r="F37" s="186">
        <f>Optimistic_case!D37</f>
        <v>1.33965216</v>
      </c>
      <c r="G37" s="187">
        <f>Realistic_case!D37</f>
        <v>0.15354912735849052</v>
      </c>
      <c r="H37" s="148"/>
      <c r="I37" s="157" t="str">
        <f>Realistic_case!F37</f>
        <v>tonnes/yr.</v>
      </c>
      <c r="J37" s="27"/>
      <c r="N37" s="21"/>
    </row>
    <row r="38" spans="2:65" s="30" customFormat="1" ht="15" customHeight="1" x14ac:dyDescent="0.25">
      <c r="B38" s="29" t="str">
        <f>Realistic_case!B38</f>
        <v>Pb production loss as % of original</v>
      </c>
      <c r="C38" s="135"/>
      <c r="D38" s="177">
        <f>Working_sheet!D38</f>
        <v>55.375</v>
      </c>
      <c r="E38" s="178">
        <f>Extreme_case!D38</f>
        <v>23.050000000000011</v>
      </c>
      <c r="F38" s="179">
        <f>Optimistic_case!D38</f>
        <v>45.6</v>
      </c>
      <c r="G38" s="180">
        <f>Realistic_case!D38</f>
        <v>55.375</v>
      </c>
      <c r="H38" s="148"/>
      <c r="I38" s="151" t="str">
        <f>Realistic_case!F38</f>
        <v>%</v>
      </c>
      <c r="J38" s="3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row>
    <row r="39" spans="2:65" s="30" customFormat="1" ht="15" customHeight="1" x14ac:dyDescent="0.25">
      <c r="B39" s="29" t="str">
        <f>Realistic_case!B39</f>
        <v>Ag production loss as % of original mined</v>
      </c>
      <c r="C39" s="135"/>
      <c r="D39" s="177">
        <f>Working_sheet!D39</f>
        <v>30.175000000000018</v>
      </c>
      <c r="E39" s="178">
        <f>Extreme_case!D39</f>
        <v>10.900000000000004</v>
      </c>
      <c r="F39" s="179">
        <f>Optimistic_case!D39</f>
        <v>22.384000000000011</v>
      </c>
      <c r="G39" s="180">
        <f>Realistic_case!D39</f>
        <v>30.175000000000018</v>
      </c>
      <c r="H39" s="148"/>
      <c r="I39" s="151" t="str">
        <f>Realistic_case!F39</f>
        <v>%</v>
      </c>
      <c r="J39" s="3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row>
    <row r="40" spans="2:65" s="30" customFormat="1" ht="15" customHeight="1" x14ac:dyDescent="0.25">
      <c r="B40" s="29" t="str">
        <f>Realistic_case!B40</f>
        <v>Back-check Pb/Ag production ratio</v>
      </c>
      <c r="C40" s="135"/>
      <c r="D40" s="188">
        <f>Working_sheet!D40</f>
        <v>339</v>
      </c>
      <c r="E40" s="189">
        <f>Extreme_case!D40</f>
        <v>259</v>
      </c>
      <c r="F40" s="190">
        <f>Optimistic_case!D40</f>
        <v>315</v>
      </c>
      <c r="G40" s="191">
        <f>Realistic_case!D40</f>
        <v>339</v>
      </c>
      <c r="H40" s="148"/>
      <c r="I40" s="151"/>
      <c r="J40" s="31" t="str">
        <f>Realistic_case!G40</f>
        <v>Significantly different to Pb/Ag in ore owing to far greater loss of Pb into air during smelting/refining, cupellation and litharge refining.</v>
      </c>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row>
    <row r="41" spans="2:65" ht="15" customHeight="1" x14ac:dyDescent="0.25">
      <c r="B41" s="26" t="str">
        <f>Realistic_case!B41</f>
        <v>Productivity per miner (kg Ag per miner per year)</v>
      </c>
      <c r="C41" s="135"/>
      <c r="D41" s="192">
        <f>Working_sheet!D41</f>
        <v>1.5</v>
      </c>
      <c r="E41" s="193">
        <f>Extreme_case!D41</f>
        <v>29.7</v>
      </c>
      <c r="F41" s="194">
        <f>Optimistic_case!D41</f>
        <v>6.7</v>
      </c>
      <c r="G41" s="195">
        <f>Realistic_case!D41</f>
        <v>1.5</v>
      </c>
      <c r="H41" s="148"/>
      <c r="I41" s="157" t="str">
        <f>Realistic_case!F41</f>
        <v>kg/yr.</v>
      </c>
      <c r="J41" s="31" t="str">
        <f>Realistic_case!G41</f>
        <v>Compare late medieval and Early Modern period operations - approx. 4 - 7 kg  for miners only; refer Table 3 in text.</v>
      </c>
      <c r="N41" s="21"/>
    </row>
    <row r="42" spans="2:65" ht="15" customHeight="1" thickBot="1" x14ac:dyDescent="0.3">
      <c r="B42" s="32" t="str">
        <f>Realistic_case!B42</f>
        <v>Productivity per underground worker (kg Ag per year - assuming miners = 50 %)</v>
      </c>
      <c r="C42" s="118"/>
      <c r="D42" s="124">
        <f>Working_sheet!D42</f>
        <v>0.75</v>
      </c>
      <c r="E42" s="128">
        <f>Extreme_case!D42</f>
        <v>14.85</v>
      </c>
      <c r="F42" s="131">
        <f>Optimistic_case!D42</f>
        <v>3.35</v>
      </c>
      <c r="G42" s="134">
        <f>Realistic_case!D42</f>
        <v>0.75</v>
      </c>
      <c r="H42" s="143"/>
      <c r="I42" s="140" t="str">
        <f>Realistic_case!F42</f>
        <v>kg/yr.</v>
      </c>
      <c r="J42" s="5" t="str">
        <f>Realistic_case!G42</f>
        <v>Compare late medieval and Early Modern period operations - 1.5 - 4.5 kg for all mine workers; refer Table 3 in text.</v>
      </c>
      <c r="N42" s="21"/>
    </row>
    <row r="43" spans="2:65" ht="15.75" thickTop="1" x14ac:dyDescent="0.25">
      <c r="N43" s="21"/>
    </row>
    <row r="44" spans="2:65" x14ac:dyDescent="0.25">
      <c r="B44" s="30" t="s">
        <v>115</v>
      </c>
      <c r="N44" s="21"/>
    </row>
    <row r="45" spans="2:65" x14ac:dyDescent="0.25">
      <c r="N45" s="21"/>
    </row>
    <row r="46" spans="2:65" x14ac:dyDescent="0.25">
      <c r="N46" s="21"/>
    </row>
    <row r="47" spans="2:65" x14ac:dyDescent="0.25">
      <c r="N47" s="21"/>
    </row>
    <row r="48" spans="2:65" x14ac:dyDescent="0.25">
      <c r="N48" s="21"/>
    </row>
  </sheetData>
  <sheetProtection algorithmName="SHA-512" hashValue="a2wEHg4/4od076puZXYo5LnmtzlGbxMUSTHyokan1TmAKvCKS5q/IUiiGqvaBZfHv1mQwApMTxFE5oIMi2AKWA==" saltValue="ld3lGfzg6hUVF7RZq90LcQ==" spinCount="100000" sheet="1" selectLockedCells="1" selectUnlockedCells="1"/>
  <customSheetViews>
    <customSheetView guid="{E2772306-AE06-43A8-AC22-D91D9C3C7EF8}" scale="75" fitToPage="1">
      <selection activeCell="A36" sqref="A36:XFD36"/>
      <pageMargins left="0.39370078740157483" right="0.39370078740157483" top="1.1811023622047245" bottom="0.39370078740157483" header="0.59055118110236227" footer="0.31496062992125984"/>
      <pageSetup paperSize="9" scale="44" orientation="landscape" r:id="rId1"/>
      <headerFooter>
        <oddHeader>&amp;C&amp;"-,Bold"&amp;14Melle production models
Leigh Bettenay 2021</oddHeader>
        <oddFooter>&amp;RPrinted:&amp;T&amp;D</oddFooter>
      </headerFooter>
    </customSheetView>
    <customSheetView guid="{238C921E-9284-4CD0-9CF6-84DD5C0E8B33}" scale="75" showPageBreaks="1" fitToPage="1">
      <selection activeCell="B44" sqref="B44"/>
      <pageMargins left="0.39370078740157483" right="0.39370078740157483" top="1.1811023622047245" bottom="0.39370078740157483" header="0.59055118110236227" footer="0.31496062992125984"/>
      <pageSetup paperSize="9" scale="44" orientation="landscape" r:id="rId2"/>
      <headerFooter>
        <oddHeader>&amp;C&amp;"-,Bold"&amp;14Melle production models
Leigh Bettenay 2021</oddHeader>
        <oddFooter>&amp;RPrinted:&amp;T&amp;D</oddFooter>
      </headerFooter>
    </customSheetView>
  </customSheetViews>
  <pageMargins left="0.39370078740157483" right="0.39370078740157483" top="1.1811023622047245" bottom="0.39370078740157483" header="0.59055118110236227" footer="0.31496062992125984"/>
  <pageSetup paperSize="9" scale="44" orientation="landscape" r:id="rId3"/>
  <headerFooter>
    <oddHeader>&amp;C&amp;"-,Bold"&amp;14Melle production models
Leigh Bettenay 2022</oddHeader>
    <oddFooter>&amp;RPrinted:&amp;T&amp;D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B1:M38"/>
  <sheetViews>
    <sheetView zoomScale="90" zoomScaleNormal="90" workbookViewId="0">
      <selection activeCell="H36" sqref="H36"/>
    </sheetView>
  </sheetViews>
  <sheetFormatPr defaultColWidth="9.140625" defaultRowHeight="15" customHeight="1" x14ac:dyDescent="0.2"/>
  <cols>
    <col min="1" max="1" width="1.7109375" style="9" customWidth="1"/>
    <col min="2" max="2" width="75.7109375" style="9" customWidth="1"/>
    <col min="3" max="6" width="11.7109375" style="9" customWidth="1"/>
    <col min="7" max="7" width="12.42578125" style="9" customWidth="1"/>
    <col min="8" max="8" width="174.7109375" style="9" customWidth="1"/>
    <col min="9" max="9" width="16" style="9" customWidth="1"/>
    <col min="10" max="10" width="9.140625" style="9"/>
    <col min="11" max="11" width="16.85546875" style="9" bestFit="1" customWidth="1"/>
    <col min="12" max="12" width="14.28515625" style="9" bestFit="1" customWidth="1"/>
    <col min="13" max="13" width="38.7109375" style="10" customWidth="1"/>
    <col min="14" max="14" width="12" style="9" bestFit="1" customWidth="1"/>
    <col min="15" max="16384" width="9.140625" style="9"/>
  </cols>
  <sheetData>
    <row r="1" spans="2:9" ht="15" customHeight="1" thickTop="1" x14ac:dyDescent="0.25">
      <c r="B1" s="93" t="s">
        <v>120</v>
      </c>
      <c r="C1" s="41" t="s">
        <v>101</v>
      </c>
      <c r="D1" s="85" t="s">
        <v>108</v>
      </c>
      <c r="E1" s="86" t="s">
        <v>107</v>
      </c>
      <c r="F1" s="87" t="s">
        <v>106</v>
      </c>
      <c r="G1" s="38" t="s">
        <v>45</v>
      </c>
      <c r="H1" s="42" t="s">
        <v>139</v>
      </c>
    </row>
    <row r="2" spans="2:9" ht="15" customHeight="1" x14ac:dyDescent="0.2">
      <c r="B2" s="11" t="str">
        <f>Summary_table!B3</f>
        <v>Assumptions</v>
      </c>
      <c r="C2" s="15"/>
      <c r="D2" s="54"/>
      <c r="E2" s="60"/>
      <c r="F2" s="67"/>
      <c r="G2" s="12"/>
      <c r="H2" s="13" t="s">
        <v>109</v>
      </c>
    </row>
    <row r="3" spans="2:9" ht="15" customHeight="1" x14ac:dyDescent="0.2">
      <c r="B3" s="14" t="str">
        <f>Summary_table!B4</f>
        <v>Number of dedicated full-time miners at the mining face</v>
      </c>
      <c r="C3" s="222">
        <f>Summary_table!D4</f>
        <v>100</v>
      </c>
      <c r="D3" s="107">
        <f>Summary_table!E4</f>
        <v>500</v>
      </c>
      <c r="E3" s="108">
        <f>Summary_table!F4</f>
        <v>200</v>
      </c>
      <c r="F3" s="109">
        <f>Summary_table!G4</f>
        <v>100</v>
      </c>
      <c r="G3" s="12"/>
      <c r="H3" s="16" t="str">
        <f>IF(ISBLANK(Working_sheet!G4),"",Working_sheet!G4)</f>
        <v/>
      </c>
    </row>
    <row r="4" spans="2:9" ht="15" customHeight="1" x14ac:dyDescent="0.2">
      <c r="B4" s="14" t="str">
        <f>Summary_table!B5</f>
        <v>Rock broken per miner per day (kg)</v>
      </c>
      <c r="C4" s="222">
        <f>Summary_table!D5</f>
        <v>150</v>
      </c>
      <c r="D4" s="107">
        <f>Summary_table!E5</f>
        <v>425</v>
      </c>
      <c r="E4" s="108">
        <f>Summary_table!F5</f>
        <v>250</v>
      </c>
      <c r="F4" s="109">
        <f>Summary_table!G5</f>
        <v>150</v>
      </c>
      <c r="G4" s="17" t="str">
        <f>Summary_table!I5</f>
        <v>kg</v>
      </c>
      <c r="H4" s="16" t="str">
        <f>IF(ISBLANK(Working_sheet!G5),"",Working_sheet!G5)</f>
        <v/>
      </c>
    </row>
    <row r="5" spans="2:9" ht="15" customHeight="1" x14ac:dyDescent="0.2">
      <c r="B5" s="14" t="str">
        <f>Summary_table!B6</f>
        <v>No of workdays in year (6 working days per week)</v>
      </c>
      <c r="C5" s="222">
        <f>Summary_table!D6</f>
        <v>300</v>
      </c>
      <c r="D5" s="107">
        <f>Summary_table!E6</f>
        <v>300</v>
      </c>
      <c r="E5" s="108">
        <f>Summary_table!F6</f>
        <v>300</v>
      </c>
      <c r="F5" s="109">
        <f>Summary_table!G6</f>
        <v>300</v>
      </c>
      <c r="G5" s="17" t="str">
        <f>Summary_table!I6</f>
        <v>days</v>
      </c>
      <c r="H5" s="16" t="str">
        <f>IF(ISBLANK(Working_sheet!G6),"",Working_sheet!G6)</f>
        <v/>
      </c>
    </row>
    <row r="6" spans="2:9" ht="15" customHeight="1" x14ac:dyDescent="0.2">
      <c r="B6" s="14" t="str">
        <f>Summary_table!B7</f>
        <v>Proportion of ore presented for crushing (as % of all rock mined)</v>
      </c>
      <c r="C6" s="222">
        <f>Summary_table!D7</f>
        <v>50</v>
      </c>
      <c r="D6" s="107">
        <f>Summary_table!E7</f>
        <v>65</v>
      </c>
      <c r="E6" s="108">
        <f>Summary_table!F7</f>
        <v>60</v>
      </c>
      <c r="F6" s="109">
        <f>Summary_table!G7</f>
        <v>50</v>
      </c>
      <c r="G6" s="17" t="str">
        <f>Summary_table!I7</f>
        <v>%</v>
      </c>
      <c r="H6" s="16" t="str">
        <f>IF(ISBLANK(Working_sheet!G7),"",Working_sheet!G7)</f>
        <v/>
      </c>
    </row>
    <row r="7" spans="2:9" ht="15" customHeight="1" x14ac:dyDescent="0.2">
      <c r="B7" s="14" t="str">
        <f>Summary_table!B8</f>
        <v>Average grade of ore (weight % galena) as presented for crushing</v>
      </c>
      <c r="C7" s="223">
        <f>Summary_table!D8</f>
        <v>6</v>
      </c>
      <c r="D7" s="59">
        <f>Summary_table!E8</f>
        <v>14</v>
      </c>
      <c r="E7" s="66">
        <f>Summary_table!F8</f>
        <v>10</v>
      </c>
      <c r="F7" s="73">
        <f>Summary_table!G8</f>
        <v>6</v>
      </c>
      <c r="G7" s="17" t="str">
        <f>Summary_table!I8</f>
        <v>%</v>
      </c>
      <c r="H7" s="16" t="str">
        <f>IF(ISBLANK(Working_sheet!G8),"",Working_sheet!G8)</f>
        <v/>
      </c>
    </row>
    <row r="8" spans="2:9" ht="15" customHeight="1" x14ac:dyDescent="0.2">
      <c r="B8" s="14" t="str">
        <f>Summary_table!B9</f>
        <v>Pb/Ag ratio in ore</v>
      </c>
      <c r="C8" s="222">
        <f>Summary_table!D9</f>
        <v>530</v>
      </c>
      <c r="D8" s="107">
        <f>Summary_table!E9</f>
        <v>300</v>
      </c>
      <c r="E8" s="108">
        <f>Summary_table!F9</f>
        <v>450</v>
      </c>
      <c r="F8" s="109">
        <f>Summary_table!G9</f>
        <v>530</v>
      </c>
      <c r="G8" s="17"/>
      <c r="H8" s="16" t="str">
        <f>IF(ISBLANK(Working_sheet!G9),"",Working_sheet!G9)</f>
        <v/>
      </c>
    </row>
    <row r="9" spans="2:9" ht="15" customHeight="1" x14ac:dyDescent="0.2">
      <c r="B9" s="14" t="str">
        <f>Summary_table!B10</f>
        <v xml:space="preserve">% Silver-bearing galena lost in crushing and concentrating </v>
      </c>
      <c r="C9" s="222">
        <f>Summary_table!D10</f>
        <v>25</v>
      </c>
      <c r="D9" s="107">
        <f>Summary_table!E10</f>
        <v>10</v>
      </c>
      <c r="E9" s="108">
        <f>Summary_table!F10</f>
        <v>20</v>
      </c>
      <c r="F9" s="109">
        <f>Summary_table!G10</f>
        <v>25</v>
      </c>
      <c r="G9" s="17" t="str">
        <f>Summary_table!I10</f>
        <v>%</v>
      </c>
      <c r="H9" s="16" t="str">
        <f>IF(ISBLANK(Working_sheet!G10),"",Working_sheet!G10)</f>
        <v/>
      </c>
    </row>
    <row r="10" spans="2:9" ht="15" customHeight="1" x14ac:dyDescent="0.2">
      <c r="B10" s="14" t="str">
        <f>Summary_table!B11</f>
        <v>% Pb lost in smelting &amp; refining to slag and air</v>
      </c>
      <c r="C10" s="222">
        <f>Summary_table!D11</f>
        <v>30</v>
      </c>
      <c r="D10" s="107">
        <f>Summary_table!E11</f>
        <v>10</v>
      </c>
      <c r="E10" s="108">
        <f>Summary_table!F11</f>
        <v>20</v>
      </c>
      <c r="F10" s="109">
        <f>Summary_table!G11</f>
        <v>30</v>
      </c>
      <c r="G10" s="17" t="str">
        <f>Summary_table!I11</f>
        <v>%</v>
      </c>
      <c r="H10" s="16" t="str">
        <f>IF(ISBLANK(Working_sheet!G11),"",Working_sheet!G11)</f>
        <v/>
      </c>
    </row>
    <row r="11" spans="2:9" ht="15" customHeight="1" x14ac:dyDescent="0.2">
      <c r="B11" s="14" t="str">
        <f>Summary_table!B12</f>
        <v>% Pb lost in cupelling and then re-smelting of litharge</v>
      </c>
      <c r="C11" s="222">
        <f>Summary_table!D12</f>
        <v>15</v>
      </c>
      <c r="D11" s="107">
        <f>Summary_table!E12</f>
        <v>5</v>
      </c>
      <c r="E11" s="108">
        <f>Summary_table!F12</f>
        <v>15</v>
      </c>
      <c r="F11" s="109">
        <f>Summary_table!G12</f>
        <v>15</v>
      </c>
      <c r="G11" s="17" t="str">
        <f>Summary_table!I12</f>
        <v>%</v>
      </c>
      <c r="H11" s="16" t="str">
        <f>IF(ISBLANK(Working_sheet!G12),"",Working_sheet!G12)</f>
        <v/>
      </c>
      <c r="I11" s="18"/>
    </row>
    <row r="12" spans="2:9" ht="15" customHeight="1" x14ac:dyDescent="0.2">
      <c r="B12" s="14" t="str">
        <f>Summary_table!B13</f>
        <v>% Ag lost in smelting and refining (but not cupellation)</v>
      </c>
      <c r="C12" s="223">
        <f>Summary_table!D13</f>
        <v>5</v>
      </c>
      <c r="D12" s="59">
        <f>Summary_table!E13</f>
        <v>1</v>
      </c>
      <c r="E12" s="66">
        <f>Summary_table!F13</f>
        <v>2</v>
      </c>
      <c r="F12" s="73">
        <f>Summary_table!G13</f>
        <v>5</v>
      </c>
      <c r="G12" s="17" t="str">
        <f>Summary_table!I13</f>
        <v>%</v>
      </c>
      <c r="H12" s="16" t="str">
        <f>IF(ISBLANK(Working_sheet!G13),"",Working_sheet!G13)</f>
        <v/>
      </c>
    </row>
    <row r="13" spans="2:9" ht="15" customHeight="1" x14ac:dyDescent="0.2">
      <c r="B13" s="14" t="str">
        <f>Summary_table!B14</f>
        <v>% Ag lost in cupelling</v>
      </c>
      <c r="C13" s="223">
        <f>Summary_table!D14</f>
        <v>2</v>
      </c>
      <c r="D13" s="59">
        <f>Summary_table!E14</f>
        <v>0</v>
      </c>
      <c r="E13" s="66">
        <f>Summary_table!F14</f>
        <v>1</v>
      </c>
      <c r="F13" s="73">
        <f>Summary_table!G14</f>
        <v>2</v>
      </c>
      <c r="G13" s="17" t="str">
        <f>Summary_table!I14</f>
        <v>%</v>
      </c>
      <c r="H13" s="16" t="str">
        <f>IF(ISBLANK(Working_sheet!G14),"",Working_sheet!G14)</f>
        <v/>
      </c>
    </row>
    <row r="14" spans="2:9" ht="15" customHeight="1" x14ac:dyDescent="0.2">
      <c r="B14" s="43" t="str">
        <f>Summary_table!B16</f>
        <v>Calculations</v>
      </c>
      <c r="C14" s="44"/>
      <c r="D14" s="55"/>
      <c r="E14" s="61"/>
      <c r="F14" s="68"/>
      <c r="G14" s="44"/>
      <c r="H14" s="16"/>
    </row>
    <row r="15" spans="2:9" ht="15" customHeight="1" x14ac:dyDescent="0.2">
      <c r="B15" s="45" t="str">
        <f>Summary_table!B17</f>
        <v>Derived Pb content in ore (assuming 86.3 weight % Pb) )</v>
      </c>
      <c r="C15" s="284">
        <f>Summary_table!D17</f>
        <v>5.18</v>
      </c>
      <c r="D15" s="56">
        <f>Summary_table!E17</f>
        <v>12.08</v>
      </c>
      <c r="E15" s="65">
        <f>Summary_table!F17</f>
        <v>8.6300000000000008</v>
      </c>
      <c r="F15" s="69">
        <f>Summary_table!G17</f>
        <v>5.18</v>
      </c>
      <c r="G15" s="17" t="str">
        <f>Summary_table!I17</f>
        <v>%</v>
      </c>
      <c r="H15" s="16" t="str">
        <f>Summary_table!J17</f>
        <v>Pure (stoichiometric) galena contains 86.6 weight % Pb but substituion in the lattice by Ag, Bi, Sb, etc., mean that natural galenas are slightly lower in lead.</v>
      </c>
    </row>
    <row r="16" spans="2:9" ht="15" customHeight="1" x14ac:dyDescent="0.2">
      <c r="B16" s="45" t="str">
        <f>Summary_table!B18</f>
        <v>Derived Ag content in ore based on Pb grade and Pb:Ag (weight % Ag)</v>
      </c>
      <c r="C16" s="284">
        <f>Summary_table!D18</f>
        <v>0.01</v>
      </c>
      <c r="D16" s="56">
        <f>Summary_table!E18</f>
        <v>0.04</v>
      </c>
      <c r="E16" s="65">
        <f>Summary_table!F18</f>
        <v>1.9E-2</v>
      </c>
      <c r="F16" s="69">
        <f>Summary_table!G18</f>
        <v>0.01</v>
      </c>
      <c r="G16" s="17" t="str">
        <f>Summary_table!I18</f>
        <v>%</v>
      </c>
      <c r="H16" s="16"/>
    </row>
    <row r="17" spans="2:8" ht="15" customHeight="1" x14ac:dyDescent="0.2">
      <c r="B17" s="45" t="str">
        <f>Summary_table!B19</f>
        <v>Derived Ag content in ore based on Pb grade and Pb:Ag (oz/tonne Ag)</v>
      </c>
      <c r="C17" s="284">
        <f>Summary_table!D19</f>
        <v>3.22</v>
      </c>
      <c r="D17" s="56">
        <f>Summary_table!E19</f>
        <v>12.86</v>
      </c>
      <c r="E17" s="65">
        <f>Summary_table!F19</f>
        <v>6.11</v>
      </c>
      <c r="F17" s="69">
        <f>Summary_table!G19</f>
        <v>3.22</v>
      </c>
      <c r="G17" s="17" t="str">
        <f>Summary_table!I19</f>
        <v>oz/tonne</v>
      </c>
      <c r="H17" s="16" t="str">
        <f>Summary_table!J19</f>
        <v>Note: All reference to "oz" is Troy ounce of 31.104 grams, so "oz/tonne" is Troy ounces per metric tonne.</v>
      </c>
    </row>
    <row r="18" spans="2:8" ht="15" customHeight="1" x14ac:dyDescent="0.2">
      <c r="B18" s="45" t="str">
        <f>Summary_table!B20</f>
        <v>Total ore produced per miner per day (kg)</v>
      </c>
      <c r="C18" s="284">
        <f>Summary_table!D20</f>
        <v>75</v>
      </c>
      <c r="D18" s="56">
        <f>Summary_table!E20</f>
        <v>276.25</v>
      </c>
      <c r="E18" s="65">
        <f>Summary_table!F20</f>
        <v>150</v>
      </c>
      <c r="F18" s="69">
        <f>Summary_table!G20</f>
        <v>75</v>
      </c>
      <c r="G18" s="17" t="str">
        <f>Summary_table!I20</f>
        <v>kg/day</v>
      </c>
      <c r="H18" s="16"/>
    </row>
    <row r="19" spans="2:8" ht="15" customHeight="1" x14ac:dyDescent="0.2">
      <c r="B19" s="45" t="str">
        <f>Summary_table!B21</f>
        <v>Total rock mined per miner per year (tonnes)</v>
      </c>
      <c r="C19" s="284">
        <f>Summary_table!D21</f>
        <v>45</v>
      </c>
      <c r="D19" s="56">
        <f>Summary_table!E21</f>
        <v>127.5</v>
      </c>
      <c r="E19" s="65">
        <f>Summary_table!F21</f>
        <v>75</v>
      </c>
      <c r="F19" s="69">
        <f>Summary_table!G21</f>
        <v>45</v>
      </c>
      <c r="G19" s="17" t="str">
        <f>Summary_table!I21</f>
        <v>tonnes/yr.</v>
      </c>
      <c r="H19" s="16"/>
    </row>
    <row r="20" spans="2:8" ht="15" customHeight="1" x14ac:dyDescent="0.2">
      <c r="B20" s="45" t="str">
        <f>Summary_table!B22</f>
        <v>Total ore mined per miner per year (tonnes)</v>
      </c>
      <c r="C20" s="284">
        <f>Summary_table!D22</f>
        <v>22.5</v>
      </c>
      <c r="D20" s="56">
        <f>Summary_table!E22</f>
        <v>82.875</v>
      </c>
      <c r="E20" s="65">
        <f>Summary_table!F22</f>
        <v>45</v>
      </c>
      <c r="F20" s="69">
        <f>Summary_table!G22</f>
        <v>22.5</v>
      </c>
      <c r="G20" s="17" t="str">
        <f>Summary_table!I22</f>
        <v>tonnes/yr.</v>
      </c>
      <c r="H20" s="16"/>
    </row>
    <row r="21" spans="2:8" ht="15" customHeight="1" x14ac:dyDescent="0.2">
      <c r="B21" s="43" t="str">
        <f>Summary_table!B23</f>
        <v>Total rock mined per year by all miners (tonnes)</v>
      </c>
      <c r="C21" s="47">
        <f>Summary_table!D23</f>
        <v>4500</v>
      </c>
      <c r="D21" s="107">
        <f>Summary_table!E23</f>
        <v>63750</v>
      </c>
      <c r="E21" s="62">
        <f>Summary_table!F23</f>
        <v>15000</v>
      </c>
      <c r="F21" s="70">
        <f>Summary_table!G23</f>
        <v>4500</v>
      </c>
      <c r="G21" s="17" t="str">
        <f>Summary_table!I23</f>
        <v>tonnes/yr.</v>
      </c>
      <c r="H21" s="16"/>
    </row>
    <row r="22" spans="2:8" ht="15" customHeight="1" x14ac:dyDescent="0.2">
      <c r="B22" s="43" t="str">
        <f>Summary_table!B24</f>
        <v>Total ore mined by all miners per year (tonnes)</v>
      </c>
      <c r="C22" s="48">
        <f>Summary_table!D24</f>
        <v>2250</v>
      </c>
      <c r="D22" s="57">
        <f>Summary_table!E24</f>
        <v>41437.5</v>
      </c>
      <c r="E22" s="63">
        <f>Summary_table!F24</f>
        <v>9000</v>
      </c>
      <c r="F22" s="71">
        <f>Summary_table!G24</f>
        <v>2250</v>
      </c>
      <c r="G22" s="17" t="str">
        <f>Summary_table!I24</f>
        <v>tonnes/yr.</v>
      </c>
      <c r="H22" s="16"/>
    </row>
    <row r="23" spans="2:8" ht="15" customHeight="1" x14ac:dyDescent="0.2">
      <c r="B23" s="45" t="str">
        <f>Summary_table!B25</f>
        <v>Total contained Pb mined per year (tonnes)</v>
      </c>
      <c r="C23" s="53">
        <f>Summary_table!D25</f>
        <v>116.55</v>
      </c>
      <c r="D23" s="58">
        <f>Summary_table!E25</f>
        <v>5005.6499999999996</v>
      </c>
      <c r="E23" s="64">
        <f>Summary_table!F25</f>
        <v>776.7</v>
      </c>
      <c r="F23" s="72">
        <f>Summary_table!G25</f>
        <v>116.55</v>
      </c>
      <c r="G23" s="17" t="str">
        <f>Summary_table!I25</f>
        <v>tonnes/yr.</v>
      </c>
      <c r="H23" s="16" t="str">
        <f>Summary_table!J25</f>
        <v>But some will be lost in crushing, separating, smelting and refining.</v>
      </c>
    </row>
    <row r="24" spans="2:8" ht="15" customHeight="1" x14ac:dyDescent="0.2">
      <c r="B24" s="45" t="str">
        <f>Summary_table!B26</f>
        <v>Total contained Ag mined per year (tonnes)</v>
      </c>
      <c r="C24" s="46">
        <f>Summary_table!D26</f>
        <v>0.21990566037735848</v>
      </c>
      <c r="D24" s="56">
        <f>Summary_table!E26</f>
        <v>16.685499999999998</v>
      </c>
      <c r="E24" s="65">
        <f>Summary_table!F26</f>
        <v>1.7260000000000002</v>
      </c>
      <c r="F24" s="69">
        <f>Summary_table!G26</f>
        <v>0.21990566037735848</v>
      </c>
      <c r="G24" s="17" t="str">
        <f>Summary_table!I26</f>
        <v>tonnes/yr.</v>
      </c>
      <c r="H24" s="16" t="str">
        <f>Summary_table!J26</f>
        <v>But some will be lost in crushing, separating, smelting and refining.</v>
      </c>
    </row>
    <row r="25" spans="2:8" ht="15" customHeight="1" x14ac:dyDescent="0.2">
      <c r="B25" s="45" t="str">
        <f>Summary_table!B27</f>
        <v>Pb in recovered concentrate available for smelting (tonnes per year )</v>
      </c>
      <c r="C25" s="49">
        <f>Summary_table!D27</f>
        <v>87.412499999999994</v>
      </c>
      <c r="D25" s="59">
        <f>Summary_table!E27</f>
        <v>4505.0849999999991</v>
      </c>
      <c r="E25" s="66">
        <f>Summary_table!F27</f>
        <v>621.36</v>
      </c>
      <c r="F25" s="73">
        <f>Summary_table!G27</f>
        <v>87.412499999999994</v>
      </c>
      <c r="G25" s="17" t="str">
        <f>Summary_table!I27</f>
        <v>tonnes/yr.</v>
      </c>
      <c r="H25" s="16" t="str">
        <f>Summary_table!J27</f>
        <v>Total Pb mined minus crushing/dressing loss.</v>
      </c>
    </row>
    <row r="26" spans="2:8" ht="15" customHeight="1" x14ac:dyDescent="0.2">
      <c r="B26" s="45" t="str">
        <f>Summary_table!B28</f>
        <v>Ag in recovered Pb concentrate available for smelting (tonnes per year)</v>
      </c>
      <c r="C26" s="46">
        <f>Summary_table!D28</f>
        <v>0.16492924528301883</v>
      </c>
      <c r="D26" s="56">
        <f>Summary_table!E28</f>
        <v>15.016949999999998</v>
      </c>
      <c r="E26" s="65">
        <f>Summary_table!F28</f>
        <v>1.3808</v>
      </c>
      <c r="F26" s="69">
        <f>Summary_table!G28</f>
        <v>0.16492924528301883</v>
      </c>
      <c r="G26" s="17" t="str">
        <f>Summary_table!I28</f>
        <v>tonnes/yr.</v>
      </c>
      <c r="H26" s="16" t="str">
        <f>Summary_table!J28</f>
        <v>Total Ag mined minus crushing/dressing loss, based on estimated galena lost and Pb/Ag ratio.</v>
      </c>
    </row>
    <row r="27" spans="2:8" ht="15" customHeight="1" x14ac:dyDescent="0.2">
      <c r="B27" s="45" t="str">
        <f>Summary_table!B30</f>
        <v>Final Pb metal produced after smelting &amp; refining (tonnes per year)</v>
      </c>
      <c r="C27" s="49">
        <f>Summary_table!D30</f>
        <v>61.188749999999999</v>
      </c>
      <c r="D27" s="58">
        <f>Summary_table!E30</f>
        <v>4054.5764999999992</v>
      </c>
      <c r="E27" s="66">
        <f>Summary_table!F30</f>
        <v>497.08800000000002</v>
      </c>
      <c r="F27" s="73">
        <f>Summary_table!G30</f>
        <v>61.188749999999999</v>
      </c>
      <c r="G27" s="17" t="str">
        <f>Summary_table!I30</f>
        <v>tonnes/yr.</v>
      </c>
      <c r="H27" s="16"/>
    </row>
    <row r="28" spans="2:8" ht="15" customHeight="1" x14ac:dyDescent="0.2">
      <c r="B28" s="45" t="str">
        <f>Summary_table!B31</f>
        <v>Final Ag produced in Pb metal after smelting &amp; refining (tonnes per year)</v>
      </c>
      <c r="C28" s="46">
        <f>Summary_table!D31</f>
        <v>0.15668278301886787</v>
      </c>
      <c r="D28" s="56">
        <f>Summary_table!E31</f>
        <v>14.866780499999997</v>
      </c>
      <c r="E28" s="65">
        <f>Summary_table!F31</f>
        <v>1.3531839999999999</v>
      </c>
      <c r="F28" s="69">
        <f>Summary_table!G31</f>
        <v>0.15668278301886787</v>
      </c>
      <c r="G28" s="17" t="str">
        <f>Summary_table!I31</f>
        <v>tonnes/yr.</v>
      </c>
      <c r="H28" s="16"/>
    </row>
    <row r="29" spans="2:8" ht="15" customHeight="1" x14ac:dyDescent="0.2">
      <c r="B29" s="45" t="str">
        <f>Summary_table!B33</f>
        <v>Ag content in Pb metal after smelting but before cupellation as percent</v>
      </c>
      <c r="C29" s="46">
        <f>Summary_table!D33</f>
        <v>0.25606469002695409</v>
      </c>
      <c r="D29" s="56">
        <f>Summary_table!E33</f>
        <v>0.3666666666666667</v>
      </c>
      <c r="E29" s="65">
        <f>Summary_table!F33</f>
        <v>0.2722222222222222</v>
      </c>
      <c r="F29" s="69">
        <f>Summary_table!G33</f>
        <v>0.25606469002695409</v>
      </c>
      <c r="G29" s="17" t="str">
        <f>Summary_table!I33</f>
        <v>%</v>
      </c>
      <c r="H29" s="16"/>
    </row>
    <row r="30" spans="2:8" ht="15" customHeight="1" x14ac:dyDescent="0.2">
      <c r="B30" s="45" t="str">
        <f>Summary_table!B34</f>
        <v>Ag content in Pb metal after smelting but before cupellation as oz/tonne</v>
      </c>
      <c r="C30" s="49">
        <f>Summary_table!D34</f>
        <v>8.1999999999999993</v>
      </c>
      <c r="D30" s="59">
        <f>Summary_table!E34</f>
        <v>11.8</v>
      </c>
      <c r="E30" s="66">
        <f>Summary_table!F34</f>
        <v>8.8000000000000007</v>
      </c>
      <c r="F30" s="73">
        <f>Summary_table!G34</f>
        <v>8.1999999999999993</v>
      </c>
      <c r="G30" s="17" t="str">
        <f>Summary_table!I34</f>
        <v>oz/tonne</v>
      </c>
      <c r="H30" s="16"/>
    </row>
    <row r="31" spans="2:8" ht="15" customHeight="1" x14ac:dyDescent="0.2">
      <c r="B31" s="45" t="str">
        <f>Summary_table!B36</f>
        <v>Final Pb produced after cupellation and re-smelting</v>
      </c>
      <c r="C31" s="102">
        <f>Summary_table!D36</f>
        <v>52.010437499999995</v>
      </c>
      <c r="D31" s="105">
        <f>Summary_table!E36</f>
        <v>3851.8476749999991</v>
      </c>
      <c r="E31" s="103">
        <f>Summary_table!F36</f>
        <v>422.52480000000003</v>
      </c>
      <c r="F31" s="104">
        <f>Summary_table!G36</f>
        <v>52.010437499999995</v>
      </c>
      <c r="G31" s="95" t="str">
        <f>Summary_table!I36</f>
        <v>tonnes/yr.</v>
      </c>
      <c r="H31" s="16"/>
    </row>
    <row r="32" spans="2:8" ht="15" customHeight="1" x14ac:dyDescent="0.2">
      <c r="B32" s="45" t="str">
        <f>Summary_table!B37</f>
        <v>Final Ag produced after cupellation (tonnes Ag metal per year)</v>
      </c>
      <c r="C32" s="51">
        <f>Summary_table!D37</f>
        <v>0.15354912735849052</v>
      </c>
      <c r="D32" s="99">
        <f>Summary_table!E37</f>
        <v>14.866780499999997</v>
      </c>
      <c r="E32" s="100">
        <f>Summary_table!F37</f>
        <v>1.33965216</v>
      </c>
      <c r="F32" s="101">
        <f>Summary_table!G37</f>
        <v>0.15354912735849052</v>
      </c>
      <c r="G32" s="95" t="str">
        <f>Summary_table!I37</f>
        <v>tonnes/yr.</v>
      </c>
      <c r="H32" s="16"/>
    </row>
    <row r="33" spans="2:8" ht="15" customHeight="1" x14ac:dyDescent="0.2">
      <c r="B33" s="45" t="str">
        <f>Summary_table!B38</f>
        <v>Pb production loss as % of original</v>
      </c>
      <c r="C33" s="49">
        <f>Summary_table!D38</f>
        <v>55.375</v>
      </c>
      <c r="D33" s="59">
        <f>Summary_table!E38</f>
        <v>23.050000000000011</v>
      </c>
      <c r="E33" s="66">
        <f>Summary_table!F38</f>
        <v>45.6</v>
      </c>
      <c r="F33" s="73">
        <f>Summary_table!G38</f>
        <v>55.375</v>
      </c>
      <c r="G33" s="17" t="str">
        <f>Summary_table!I38</f>
        <v>%</v>
      </c>
      <c r="H33" s="16"/>
    </row>
    <row r="34" spans="2:8" ht="15" customHeight="1" x14ac:dyDescent="0.2">
      <c r="B34" s="45" t="str">
        <f>Summary_table!B39</f>
        <v>Ag production loss as % of original mined</v>
      </c>
      <c r="C34" s="49">
        <f>Summary_table!D39</f>
        <v>30.175000000000018</v>
      </c>
      <c r="D34" s="59">
        <f>Summary_table!E39</f>
        <v>10.900000000000004</v>
      </c>
      <c r="E34" s="66">
        <f>Summary_table!F39</f>
        <v>22.384000000000011</v>
      </c>
      <c r="F34" s="73">
        <f>Summary_table!G39</f>
        <v>30.175000000000018</v>
      </c>
      <c r="G34" s="17" t="str">
        <f>Summary_table!I39</f>
        <v>%</v>
      </c>
      <c r="H34" s="16"/>
    </row>
    <row r="35" spans="2:8" ht="15" customHeight="1" x14ac:dyDescent="0.2">
      <c r="B35" s="45" t="str">
        <f>Summary_table!B40</f>
        <v>Back-check Pb/Ag production ratio</v>
      </c>
      <c r="C35" s="111">
        <f>Summary_table!D40</f>
        <v>339</v>
      </c>
      <c r="D35" s="107">
        <f>Summary_table!E40</f>
        <v>259</v>
      </c>
      <c r="E35" s="108">
        <f>Summary_table!F40</f>
        <v>315</v>
      </c>
      <c r="F35" s="109">
        <f>Summary_table!G40</f>
        <v>339</v>
      </c>
      <c r="G35" s="17"/>
      <c r="H35" s="16" t="str">
        <f>Summary_table!J40</f>
        <v>Significantly different to Pb/Ag in ore owing to far greater loss of Pb into air during smelting/refining, cupellation and litharge refining.</v>
      </c>
    </row>
    <row r="36" spans="2:8" ht="15" customHeight="1" x14ac:dyDescent="0.2">
      <c r="B36" s="45" t="str">
        <f>Summary_table!B41</f>
        <v>Productivity per miner (kg Ag per miner per year)</v>
      </c>
      <c r="C36" s="52">
        <f>Summary_table!D41</f>
        <v>1.5</v>
      </c>
      <c r="D36" s="96">
        <f>Summary_table!E41</f>
        <v>29.7</v>
      </c>
      <c r="E36" s="97">
        <f>Summary_table!F41</f>
        <v>6.7</v>
      </c>
      <c r="F36" s="98">
        <f>Summary_table!G41</f>
        <v>1.5</v>
      </c>
      <c r="G36" s="17" t="str">
        <f>Summary_table!I41</f>
        <v>kg/yr.</v>
      </c>
      <c r="H36" s="16" t="str">
        <f>Summary_table!J41</f>
        <v>Compare late medieval and Early Modern period operations - approx. 4 - 7 kg  for miners only; refer Table 3 in text.</v>
      </c>
    </row>
    <row r="37" spans="2:8" ht="15" customHeight="1" thickBot="1" x14ac:dyDescent="0.25">
      <c r="B37" s="50" t="str">
        <f>Summary_table!B42</f>
        <v>Productivity per underground worker (kg Ag per year - assuming miners = 50 %)</v>
      </c>
      <c r="C37" s="112">
        <f>Summary_table!D42</f>
        <v>0.75</v>
      </c>
      <c r="D37" s="113">
        <f>Summary_table!E42</f>
        <v>14.85</v>
      </c>
      <c r="E37" s="114">
        <f>Summary_table!F42</f>
        <v>3.35</v>
      </c>
      <c r="F37" s="115">
        <f>Summary_table!G42</f>
        <v>0.75</v>
      </c>
      <c r="G37" s="110" t="str">
        <f>Summary_table!I42</f>
        <v>kg/yr.</v>
      </c>
      <c r="H37" s="19" t="str">
        <f>Summary_table!J42</f>
        <v>Compare late medieval and Early Modern period operations - 1.5 - 4.5 kg for all mine workers; refer Table 3 in text.</v>
      </c>
    </row>
    <row r="38" spans="2:8" ht="15" customHeight="1" thickTop="1" x14ac:dyDescent="0.2"/>
  </sheetData>
  <sheetProtection algorithmName="SHA-512" hashValue="cDmZewIfaWdhnzXaaeDIzpn8bU9N+3yKnNpudGCtkZPnITyJu2KFybUANB6f5n4Iwf5ZpX2cZiQ9Op6TlFIohQ==" saltValue="+LoLpZZ+ywq1/Zg/ZHCBfg==" spinCount="100000" sheet="1" objects="1" scenarios="1"/>
  <customSheetViews>
    <customSheetView guid="{E2772306-AE06-43A8-AC22-D91D9C3C7EF8}" scale="75" fitToPage="1">
      <selection activeCell="H11" sqref="H11"/>
      <pageMargins left="0.39370078740157483" right="0.39370078740157483" top="1.1811023622047245" bottom="0.39370078740157483" header="0.59055118110236227" footer="0.31496062992125984"/>
      <pageSetup paperSize="9" scale="44" orientation="landscape" r:id="rId1"/>
      <headerFooter>
        <oddHeader>&amp;C&amp;"-,Bold"&amp;14Melle production models
Leigh Bettenay 2021</oddHeader>
        <oddFooter>&amp;RPrinted:&amp;T&amp;D</oddFooter>
      </headerFooter>
    </customSheetView>
    <customSheetView guid="{238C921E-9284-4CD0-9CF6-84DD5C0E8B33}" scale="75" showPageBreaks="1" fitToPage="1">
      <selection activeCell="H2" sqref="H2"/>
      <pageMargins left="0.39370078740157483" right="0.39370078740157483" top="1.1811023622047245" bottom="0.39370078740157483" header="0.59055118110236227" footer="0.31496062992125984"/>
      <pageSetup paperSize="9" scale="44" orientation="landscape" r:id="rId2"/>
      <headerFooter>
        <oddHeader>&amp;C&amp;"-,Bold"&amp;14Melle production models
Leigh Bettenay 2021</oddHeader>
        <oddFooter>&amp;RPrinted:&amp;T&amp;D</oddFooter>
      </headerFooter>
    </customSheetView>
  </customSheetViews>
  <pageMargins left="0.39370078740157483" right="0.39370078740157483" top="1.1811023622047245" bottom="0.39370078740157483" header="0.59055118110236227" footer="0.31496062992125984"/>
  <pageSetup paperSize="9" scale="44" orientation="landscape" r:id="rId3"/>
  <headerFooter>
    <oddHeader>&amp;C&amp;"-,Bold"&amp;14Melle production models
Leigh Bettenay 2022</oddHeader>
    <oddFooter>&amp;RPrinted:&amp;T&amp;D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About_Melle_models</vt:lpstr>
      <vt:lpstr>Working_sheet</vt:lpstr>
      <vt:lpstr>Workforce_calculations</vt:lpstr>
      <vt:lpstr>Realistic_case</vt:lpstr>
      <vt:lpstr>Optimistic_case</vt:lpstr>
      <vt:lpstr>Extreme_case</vt:lpstr>
      <vt:lpstr>Summary_table</vt:lpstr>
      <vt:lpstr>Output_table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Leigh_B</dc:creator>
  <cp:lastModifiedBy>Leigh_B</cp:lastModifiedBy>
  <cp:lastPrinted>2022-05-21T00:19:04Z</cp:lastPrinted>
  <dcterms:created xsi:type="dcterms:W3CDTF">2019-09-18T23:55:44Z</dcterms:created>
  <dcterms:modified xsi:type="dcterms:W3CDTF">2022-07-05T03:31:36Z</dcterms:modified>
</cp:coreProperties>
</file>